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E:\UPRT a faire\so-plannings.copie\"/>
    </mc:Choice>
  </mc:AlternateContent>
  <xr:revisionPtr revIDLastSave="0" documentId="13_ncr:1_{EAED2EB9-4C14-45E8-BF3E-6251DBDE48DB}" xr6:coauthVersionLast="46" xr6:coauthVersionMax="46" xr10:uidLastSave="{00000000-0000-0000-0000-000000000000}"/>
  <bookViews>
    <workbookView xWindow="-120" yWindow="-120" windowWidth="29040" windowHeight="15840" xr2:uid="{CC9580EE-1765-45D1-B8BB-96DF1C719973}"/>
  </bookViews>
  <sheets>
    <sheet name="Nota" sheetId="14" r:id="rId1"/>
    <sheet name="quelques.liens" sheetId="1" r:id="rId2"/>
    <sheet name="Absences.repos.fixes" sheetId="8" r:id="rId3"/>
    <sheet name="Absences.repos.variable" sheetId="35" r:id="rId4"/>
    <sheet name="Planification.Annuelle.1" sheetId="12" r:id="rId5"/>
    <sheet name="Planification.Annuelle.2" sheetId="36" r:id="rId6"/>
    <sheet name="Planification.Mensuelle.Variabl" sheetId="19" r:id="rId7"/>
    <sheet name="Planification.Mensuelle.Fixe" sheetId="20" r:id="rId8"/>
    <sheet name="Positionnement.avec.heures" sheetId="39" r:id="rId9"/>
    <sheet name="Heures.Travaillées" sheetId="33" r:id="rId10"/>
    <sheet name="Positionnement Pointage" sheetId="32" r:id="rId11"/>
    <sheet name="exemple.pointages.horaires" sheetId="41" r:id="rId12"/>
    <sheet name="Exemple.Horaires" sheetId="25" r:id="rId13"/>
    <sheet name="Exemple.Horaires (2)" sheetId="42" r:id="rId14"/>
    <sheet name="Temps Travail" sheetId="38" r:id="rId15"/>
  </sheets>
  <externalReferences>
    <externalReference r:id="rId16"/>
  </externalReferences>
  <definedNames>
    <definedName name="Année_Calendaire" localSheetId="9">Heures.Travaillées!$B$2</definedName>
    <definedName name="Année_Calendaire" localSheetId="10">'Positionnement Pointage'!$W$12</definedName>
    <definedName name="Aoû_Dim1" localSheetId="9">DATE(Heures.Travaillées!Année_Calendaire,8,1)-WEEKDAY(DATE(Heures.Travaillées!Année_Calendaire,8,1))+1</definedName>
    <definedName name="Aoû_Dim1" localSheetId="10">DATE('Positionnement Pointage'!Année_Calendaire,8,1)-WEEKDAY(DATE('Positionnement Pointage'!Année_Calendaire,8,1))+1</definedName>
    <definedName name="Aoû_Dim1">DATE(Heures.Travaillées!Année_Calendaire,8,1)-WEEKDAY(DATE(Heures.Travaillées!Année_Calendaire,8,1))+1</definedName>
    <definedName name="Avr_Dim1" localSheetId="9">DATE(Heures.Travaillées!Année_Calendaire,4,1)-WEEKDAY(DATE(Heures.Travaillées!Année_Calendaire,4,1))+1</definedName>
    <definedName name="Avr_Dim1" localSheetId="10">DATE('Positionnement Pointage'!Année_Calendaire,4,1)-WEEKDAY(DATE('Positionnement Pointage'!Année_Calendaire,4,1))+1</definedName>
    <definedName name="Avr_Dim1">DATE(Heures.Travaillées!Année_Calendaire,4,1)-WEEKDAY(DATE(Heures.Travaillées!Année_Calendaire,4,1))+1</definedName>
    <definedName name="ChoixAnnee">'[1]Vue Mensuelle'!$M$2</definedName>
    <definedName name="Déc_Dim1" localSheetId="9">DATE(Heures.Travaillées!Année_Calendaire,12,1)-WEEKDAY(DATE(Heures.Travaillées!Année_Calendaire,12,1))+1</definedName>
    <definedName name="Déc_Dim1" localSheetId="10">DATE('Positionnement Pointage'!Année_Calendaire,12,1)-WEEKDAY(DATE('Positionnement Pointage'!Année_Calendaire,12,1))+1</definedName>
    <definedName name="Déc_Dim1">DATE(Heures.Travaillées!Année_Calendaire,12,1)-WEEKDAY(DATE(Heures.Travaillées!Année_Calendaire,12,1))+1</definedName>
    <definedName name="Fériés">'exemple.pointages.horaires'!$L$3:$L$15</definedName>
    <definedName name="Fév_Dim1" localSheetId="9">DATE(Heures.Travaillées!Année_Calendaire,2,1)-WEEKDAY(DATE(Heures.Travaillées!Année_Calendaire,2,1))+1</definedName>
    <definedName name="Fév_Dim1" localSheetId="10">DATE('Positionnement Pointage'!Année_Calendaire,2,1)-WEEKDAY(DATE('Positionnement Pointage'!Année_Calendaire,2,1))+1</definedName>
    <definedName name="Fév_Dim1">DATE(Heures.Travaillées!Année_Calendaire,2,1)-WEEKDAY(DATE(Heures.Travaillées!Année_Calendaire,2,1))+1</definedName>
    <definedName name="_xlnm.Print_Titles" localSheetId="9">Heures.Travaillées!$1:$2</definedName>
    <definedName name="_xlnm.Print_Titles" localSheetId="10">'Positionnement Pointage'!$1:$2</definedName>
    <definedName name="Jan_Dim1" localSheetId="9">DATE(Heures.Travaillées!Année_Calendaire,1,1)-WEEKDAY(DATE(Heures.Travaillées!Année_Calendaire,1,1))+1</definedName>
    <definedName name="Jan_Dim1" localSheetId="10">DATE('Positionnement Pointage'!Année_Calendaire,1,1)-WEEKDAY(DATE('Positionnement Pointage'!Année_Calendaire,1,1))+1</definedName>
    <definedName name="Jan_Dim1">DATE(Heures.Travaillées!Année_Calendaire,1,1)-WEEKDAY(DATE(Heures.Travaillées!Année_Calendaire,1,1))+1</definedName>
    <definedName name="Juil_Dim1" localSheetId="9">DATE(Heures.Travaillées!Année_Calendaire,7,1)-WEEKDAY(DATE(Heures.Travaillées!Année_Calendaire,7,1))+1</definedName>
    <definedName name="Juil_Dim1" localSheetId="10">DATE('Positionnement Pointage'!Année_Calendaire,7,1)-WEEKDAY(DATE('Positionnement Pointage'!Année_Calendaire,7,1))+1</definedName>
    <definedName name="Juil_Dim1">DATE(Heures.Travaillées!Année_Calendaire,7,1)-WEEKDAY(DATE(Heures.Travaillées!Année_Calendaire,7,1))+1</definedName>
    <definedName name="Juin_Dim1" localSheetId="9">DATE(Heures.Travaillées!Année_Calendaire,6,1)-WEEKDAY(DATE(Heures.Travaillées!Année_Calendaire,6,1))+1</definedName>
    <definedName name="Juin_Dim1" localSheetId="10">DATE('Positionnement Pointage'!Année_Calendaire,6,1)-WEEKDAY(DATE('Positionnement Pointage'!Année_Calendaire,6,1))+1</definedName>
    <definedName name="Juin_Dim1">DATE(Heures.Travaillées!Année_Calendaire,6,1)-WEEKDAY(DATE(Heures.Travaillées!Année_Calendaire,6,1))+1</definedName>
    <definedName name="Mai_Dim1" localSheetId="9">DATE(Heures.Travaillées!Année_Calendaire,5,1)-WEEKDAY(DATE(Heures.Travaillées!Année_Calendaire,5,1))+1</definedName>
    <definedName name="Mai_Dim1" localSheetId="10">DATE('Positionnement Pointage'!Année_Calendaire,5,1)-WEEKDAY(DATE('Positionnement Pointage'!Année_Calendaire,5,1))+1</definedName>
    <definedName name="Mai_Dim1">DATE(Heures.Travaillées!Année_Calendaire,5,1)-WEEKDAY(DATE(Heures.Travaillées!Année_Calendaire,5,1))+1</definedName>
    <definedName name="Mar_Dim1" localSheetId="9">DATE(Heures.Travaillées!Année_Calendaire,3,1)-WEEKDAY(DATE(Heures.Travaillées!Année_Calendaire,3,1))+1</definedName>
    <definedName name="Mar_Dim1" localSheetId="10">DATE('Positionnement Pointage'!Année_Calendaire,3,1)-WEEKDAY(DATE('Positionnement Pointage'!Année_Calendaire,3,1))+1</definedName>
    <definedName name="Mar_Dim1">DATE(Heures.Travaillées!Année_Calendaire,3,1)-WEEKDAY(DATE(Heures.Travaillées!Année_Calendaire,3,1))+1</definedName>
    <definedName name="Nov_Dim1" localSheetId="9">DATE(Heures.Travaillées!Année_Calendaire,11,1)-WEEKDAY(DATE(Heures.Travaillées!Année_Calendaire,11,1))+1</definedName>
    <definedName name="Nov_Dim1" localSheetId="10">DATE('Positionnement Pointage'!Année_Calendaire,11,1)-WEEKDAY(DATE('Positionnement Pointage'!Année_Calendaire,11,1))+1</definedName>
    <definedName name="Nov_Dim1">DATE(Heures.Travaillées!Année_Calendaire,11,1)-WEEKDAY(DATE(Heures.Travaillées!Année_Calendaire,11,1))+1</definedName>
    <definedName name="Oct_Dim1" localSheetId="9">DATE(Heures.Travaillées!Année_Calendaire,10,1)-WEEKDAY(DATE(Heures.Travaillées!Année_Calendaire,10,1))+1</definedName>
    <definedName name="Oct_Dim1" localSheetId="10">DATE('Positionnement Pointage'!Année_Calendaire,10,1)-WEEKDAY(DATE('Positionnement Pointage'!Année_Calendaire,10,1))+1</definedName>
    <definedName name="Oct_Dim1">DATE(Heures.Travaillées!Année_Calendaire,10,1)-WEEKDAY(DATE(Heures.Travaillées!Année_Calendaire,10,1))+1</definedName>
    <definedName name="Paques" localSheetId="8">'Positionnement.avec.heures'!$N$5</definedName>
    <definedName name="Sep_Dim1" localSheetId="9">DATE(Heures.Travaillées!Année_Calendaire,9,1)-WEEKDAY(DATE(Heures.Travaillées!Année_Calendaire,9,1))+1</definedName>
    <definedName name="Sep_Dim1" localSheetId="10">DATE('Positionnement Pointage'!Année_Calendaire,9,1)-WEEKDAY(DATE('Positionnement Pointage'!Année_Calendaire,9,1))+1</definedName>
    <definedName name="Sep_Dim1">DATE(Heures.Travaillées!Année_Calendaire,9,1)-WEEKDAY(DATE(Heures.Travaillées!Année_Calendaire,9,1))+1</definedName>
    <definedName name="_xlnm.Print_Area" localSheetId="9">Heures.Travaillées!$A$1:$Q$111</definedName>
    <definedName name="_xlnm.Print_Area" localSheetId="10">'Positionnement Pointage'!$A$1:$AG$92</definedName>
    <definedName name="_xlnm.Print_Area" localSheetId="14">'Temps Travail'!$A$9:$I$44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9" l="1"/>
  <c r="AV96" i="32"/>
  <c r="AV106" i="32" s="1"/>
  <c r="AV98" i="32"/>
  <c r="AV109" i="32"/>
  <c r="L15" i="41"/>
  <c r="L14" i="41"/>
  <c r="L13" i="41"/>
  <c r="L12" i="41"/>
  <c r="L11" i="41"/>
  <c r="L10" i="41"/>
  <c r="L9" i="41"/>
  <c r="L8" i="41"/>
  <c r="L7" i="41"/>
  <c r="L6" i="41"/>
  <c r="L5" i="41"/>
  <c r="L4" i="41"/>
  <c r="L3" i="41"/>
  <c r="AC4" i="33"/>
  <c r="AU136" i="32"/>
  <c r="AT136" i="32"/>
  <c r="AU128" i="32"/>
  <c r="AT128" i="32" s="1"/>
  <c r="AU124" i="32"/>
  <c r="AT124" i="32" s="1"/>
  <c r="AT115" i="32"/>
  <c r="AU145" i="32" s="1"/>
  <c r="AT145" i="32" s="1"/>
  <c r="AV99" i="32" l="1"/>
  <c r="AV107" i="32"/>
  <c r="AV100" i="32"/>
  <c r="AV104" i="32"/>
  <c r="AV108" i="32"/>
  <c r="AV97" i="32"/>
  <c r="AV101" i="32"/>
  <c r="AV105" i="32"/>
  <c r="AU120" i="32"/>
  <c r="AT120" i="32" s="1"/>
  <c r="AU116" i="32"/>
  <c r="AT116" i="32" s="1"/>
  <c r="AU119" i="32"/>
  <c r="AT119" i="32" s="1"/>
  <c r="AU127" i="32"/>
  <c r="AT127" i="32" s="1"/>
  <c r="AU132" i="32"/>
  <c r="AU140" i="32"/>
  <c r="AT140" i="32" s="1"/>
  <c r="AU142" i="32"/>
  <c r="AT142" i="32" s="1"/>
  <c r="AU144" i="32"/>
  <c r="AT144" i="32" s="1"/>
  <c r="AU126" i="32"/>
  <c r="AT126" i="32" s="1"/>
  <c r="AT131" i="32"/>
  <c r="AX115" i="32" s="1"/>
  <c r="AU117" i="32"/>
  <c r="AU125" i="32"/>
  <c r="AT125" i="32" s="1"/>
  <c r="AU133" i="32"/>
  <c r="AU135" i="32"/>
  <c r="AT135" i="32" s="1"/>
  <c r="AU141" i="32"/>
  <c r="AT141" i="32" s="1"/>
  <c r="AU143" i="32"/>
  <c r="AT143" i="32" s="1"/>
  <c r="AV102" i="32" l="1"/>
  <c r="AV103" i="32"/>
  <c r="AU121" i="32"/>
  <c r="AT121" i="32" s="1"/>
  <c r="AU122" i="32"/>
  <c r="AU118" i="32"/>
  <c r="AT118" i="32" s="1"/>
  <c r="AT117" i="32"/>
  <c r="AU137" i="32"/>
  <c r="AT137" i="32" s="1"/>
  <c r="AT133" i="32"/>
  <c r="AU138" i="32"/>
  <c r="AU134" i="32"/>
  <c r="AT134" i="32" s="1"/>
  <c r="AU129" i="32"/>
  <c r="AT132" i="32"/>
  <c r="AT129" i="32" s="1"/>
  <c r="AY131" i="32"/>
  <c r="AY126" i="32"/>
  <c r="AY122" i="32"/>
  <c r="AY118" i="32"/>
  <c r="AY127" i="32"/>
  <c r="AY119" i="32"/>
  <c r="AY129" i="32"/>
  <c r="AY130" i="32"/>
  <c r="AY128" i="32"/>
  <c r="AY121" i="32"/>
  <c r="AY117" i="32"/>
  <c r="AU139" i="32" l="1"/>
  <c r="AT139" i="32" s="1"/>
  <c r="AT138" i="32"/>
  <c r="AY123" i="32"/>
  <c r="AY125" i="32"/>
  <c r="AY124" i="32"/>
  <c r="AY120" i="32"/>
  <c r="AU123" i="32"/>
  <c r="AT123" i="32" s="1"/>
  <c r="AT122" i="32"/>
  <c r="AD25" i="33" l="1"/>
  <c r="AC25" i="33" s="1"/>
  <c r="AD21" i="33"/>
  <c r="AD18" i="33" s="1"/>
  <c r="AD17" i="33"/>
  <c r="AC17" i="33" s="1"/>
  <c r="AD13" i="33"/>
  <c r="AC13" i="33" s="1"/>
  <c r="AD9" i="33"/>
  <c r="AC9" i="33" s="1"/>
  <c r="AD5" i="33"/>
  <c r="AC5" i="33"/>
  <c r="AD34" i="33"/>
  <c r="AC34" i="33" s="1"/>
  <c r="K19" i="41"/>
  <c r="N40" i="42"/>
  <c r="O38" i="42"/>
  <c r="I36" i="42"/>
  <c r="S34" i="42"/>
  <c r="F34" i="42"/>
  <c r="P28" i="42"/>
  <c r="O27" i="42"/>
  <c r="O25" i="42"/>
  <c r="I23" i="42"/>
  <c r="S21" i="42"/>
  <c r="F21" i="42"/>
  <c r="M21" i="42" s="1"/>
  <c r="P15" i="42"/>
  <c r="O14" i="42"/>
  <c r="O12" i="42"/>
  <c r="S10" i="42"/>
  <c r="I8" i="42"/>
  <c r="F6" i="42"/>
  <c r="B23" i="33"/>
  <c r="B14" i="33"/>
  <c r="B5" i="33"/>
  <c r="AC21" i="33" l="1"/>
  <c r="AC18" i="33" s="1"/>
  <c r="AD8" i="33"/>
  <c r="AC8" i="33" s="1"/>
  <c r="AD16" i="33"/>
  <c r="AC16" i="33" s="1"/>
  <c r="AD29" i="33"/>
  <c r="AC29" i="33" s="1"/>
  <c r="AD31" i="33"/>
  <c r="AC31" i="33" s="1"/>
  <c r="AD33" i="33"/>
  <c r="AC33" i="33" s="1"/>
  <c r="AD15" i="33"/>
  <c r="AC15" i="33" s="1"/>
  <c r="AC20" i="33"/>
  <c r="AG4" i="33" s="1"/>
  <c r="AD6" i="33"/>
  <c r="AD14" i="33"/>
  <c r="AC14" i="33" s="1"/>
  <c r="AD22" i="33"/>
  <c r="AD24" i="33"/>
  <c r="AC24" i="33" s="1"/>
  <c r="AD30" i="33"/>
  <c r="AC30" i="33" s="1"/>
  <c r="AD32" i="33"/>
  <c r="AC32" i="33" s="1"/>
  <c r="M34" i="42"/>
  <c r="L2" i="41"/>
  <c r="BZ4" i="35"/>
  <c r="CA34" i="35" s="1"/>
  <c r="BZ34" i="35" s="1"/>
  <c r="CA25" i="8"/>
  <c r="BZ25" i="8" s="1"/>
  <c r="BZ4" i="8"/>
  <c r="BZ20" i="8" s="1"/>
  <c r="CD4" i="8" s="1"/>
  <c r="CA25" i="35"/>
  <c r="BZ25" i="35" s="1"/>
  <c r="CA25" i="12"/>
  <c r="BZ25" i="12" s="1"/>
  <c r="CA21" i="12"/>
  <c r="CA18" i="12" s="1"/>
  <c r="BZ4" i="12"/>
  <c r="CA34" i="12" s="1"/>
  <c r="BZ34" i="12" s="1"/>
  <c r="CA25" i="36"/>
  <c r="BZ25" i="36" s="1"/>
  <c r="BZ4" i="36"/>
  <c r="CA34" i="36" s="1"/>
  <c r="BZ34" i="36" s="1"/>
  <c r="CA25" i="19"/>
  <c r="BZ25" i="19" s="1"/>
  <c r="BZ4" i="19"/>
  <c r="CA34" i="19" s="1"/>
  <c r="BZ34" i="19" s="1"/>
  <c r="BZ4" i="20"/>
  <c r="CA17" i="20" s="1"/>
  <c r="BZ17" i="20" s="1"/>
  <c r="CA25" i="20"/>
  <c r="BZ25" i="20" s="1"/>
  <c r="AD10" i="33" l="1"/>
  <c r="AC10" i="33" s="1"/>
  <c r="AD11" i="33"/>
  <c r="AD7" i="33"/>
  <c r="AC7" i="33" s="1"/>
  <c r="AC6" i="33"/>
  <c r="AD26" i="33"/>
  <c r="AC26" i="33" s="1"/>
  <c r="AC22" i="33"/>
  <c r="AD23" i="33"/>
  <c r="AC23" i="33" s="1"/>
  <c r="AD27" i="33"/>
  <c r="AH20" i="33"/>
  <c r="AH15" i="33"/>
  <c r="AH11" i="33"/>
  <c r="AH7" i="33"/>
  <c r="AH16" i="33"/>
  <c r="AH19" i="33"/>
  <c r="AH17" i="33"/>
  <c r="AH8" i="33"/>
  <c r="AH10" i="33"/>
  <c r="AH6" i="33"/>
  <c r="AH18" i="33"/>
  <c r="CA21" i="19"/>
  <c r="CA18" i="19" s="1"/>
  <c r="CA5" i="20"/>
  <c r="BZ5" i="20" s="1"/>
  <c r="CA13" i="20"/>
  <c r="BZ13" i="20" s="1"/>
  <c r="CA33" i="19"/>
  <c r="BZ33" i="19" s="1"/>
  <c r="CA9" i="12"/>
  <c r="BZ9" i="12" s="1"/>
  <c r="CA13" i="12"/>
  <c r="BZ13" i="12" s="1"/>
  <c r="CA21" i="36"/>
  <c r="CA18" i="36" s="1"/>
  <c r="CA17" i="12"/>
  <c r="BZ17" i="12" s="1"/>
  <c r="CA29" i="19"/>
  <c r="BZ29" i="19" s="1"/>
  <c r="CA5" i="12"/>
  <c r="BZ5" i="12" s="1"/>
  <c r="BZ21" i="12"/>
  <c r="BZ18" i="12" s="1"/>
  <c r="CA21" i="20"/>
  <c r="CA18" i="20" s="1"/>
  <c r="CA8" i="19"/>
  <c r="BZ8" i="19" s="1"/>
  <c r="CA16" i="19"/>
  <c r="BZ16" i="19" s="1"/>
  <c r="CA8" i="36"/>
  <c r="BZ8" i="36" s="1"/>
  <c r="CA16" i="36"/>
  <c r="BZ16" i="36" s="1"/>
  <c r="CA8" i="20"/>
  <c r="BZ8" i="20" s="1"/>
  <c r="CA9" i="19"/>
  <c r="BZ9" i="19" s="1"/>
  <c r="CA17" i="19"/>
  <c r="BZ17" i="19" s="1"/>
  <c r="CA31" i="19"/>
  <c r="BZ31" i="19" s="1"/>
  <c r="CA9" i="36"/>
  <c r="BZ9" i="36" s="1"/>
  <c r="CA17" i="36"/>
  <c r="BZ17" i="36" s="1"/>
  <c r="CA34" i="20"/>
  <c r="BZ34" i="20" s="1"/>
  <c r="CA9" i="20"/>
  <c r="BZ9" i="20" s="1"/>
  <c r="CA5" i="19"/>
  <c r="BZ5" i="19" s="1"/>
  <c r="CA13" i="19"/>
  <c r="BZ13" i="19" s="1"/>
  <c r="BZ21" i="19"/>
  <c r="BZ18" i="19" s="1"/>
  <c r="CA5" i="36"/>
  <c r="BZ5" i="36" s="1"/>
  <c r="CA13" i="36"/>
  <c r="BZ13" i="36" s="1"/>
  <c r="CA8" i="12"/>
  <c r="BZ8" i="12" s="1"/>
  <c r="CA16" i="12"/>
  <c r="BZ16" i="12" s="1"/>
  <c r="CA8" i="35"/>
  <c r="BZ8" i="35" s="1"/>
  <c r="CA17" i="35"/>
  <c r="BZ17" i="35" s="1"/>
  <c r="CA16" i="35"/>
  <c r="BZ16" i="35" s="1"/>
  <c r="CA5" i="35"/>
  <c r="BZ5" i="35" s="1"/>
  <c r="CA13" i="35"/>
  <c r="BZ13" i="35" s="1"/>
  <c r="CA9" i="35"/>
  <c r="BZ9" i="35" s="1"/>
  <c r="CA21" i="35"/>
  <c r="CA8" i="8"/>
  <c r="BZ8" i="8" s="1"/>
  <c r="CA13" i="8"/>
  <c r="BZ13" i="8" s="1"/>
  <c r="CA21" i="8"/>
  <c r="BZ21" i="8" s="1"/>
  <c r="BZ18" i="8" s="1"/>
  <c r="CA6" i="8"/>
  <c r="CA10" i="8" s="1"/>
  <c r="BZ10" i="8" s="1"/>
  <c r="CA9" i="8"/>
  <c r="BZ9" i="8" s="1"/>
  <c r="CA24" i="8"/>
  <c r="BZ24" i="8" s="1"/>
  <c r="CA29" i="8"/>
  <c r="BZ29" i="8" s="1"/>
  <c r="CA32" i="8"/>
  <c r="BZ32" i="8" s="1"/>
  <c r="CA16" i="8"/>
  <c r="BZ16" i="8" s="1"/>
  <c r="CA30" i="8"/>
  <c r="BZ30" i="8" s="1"/>
  <c r="CA33" i="8"/>
  <c r="BZ33" i="8" s="1"/>
  <c r="CA5" i="8"/>
  <c r="BZ5" i="8" s="1"/>
  <c r="CA14" i="8"/>
  <c r="BZ14" i="8" s="1"/>
  <c r="CA17" i="8"/>
  <c r="BZ17" i="8" s="1"/>
  <c r="CA22" i="8"/>
  <c r="CA26" i="8" s="1"/>
  <c r="BZ26" i="8" s="1"/>
  <c r="CA31" i="8"/>
  <c r="BZ31" i="8" s="1"/>
  <c r="CA34" i="8"/>
  <c r="BZ34" i="8" s="1"/>
  <c r="CE20" i="8"/>
  <c r="CE15" i="8"/>
  <c r="CE11" i="8"/>
  <c r="CE7" i="8"/>
  <c r="CE16" i="8"/>
  <c r="CE8" i="8"/>
  <c r="CE19" i="8"/>
  <c r="CE17" i="8"/>
  <c r="CE18" i="8"/>
  <c r="CE10" i="8"/>
  <c r="CE6" i="8"/>
  <c r="CA15" i="8"/>
  <c r="BZ15" i="8" s="1"/>
  <c r="CA29" i="35"/>
  <c r="BZ29" i="35" s="1"/>
  <c r="CA31" i="35"/>
  <c r="BZ31" i="35" s="1"/>
  <c r="CA33" i="35"/>
  <c r="BZ33" i="35" s="1"/>
  <c r="CA15" i="35"/>
  <c r="BZ15" i="35" s="1"/>
  <c r="BZ20" i="35"/>
  <c r="CD4" i="35" s="1"/>
  <c r="CA6" i="35"/>
  <c r="CA14" i="35"/>
  <c r="BZ14" i="35" s="1"/>
  <c r="CA22" i="35"/>
  <c r="CA24" i="35"/>
  <c r="BZ24" i="35" s="1"/>
  <c r="CA30" i="35"/>
  <c r="BZ30" i="35" s="1"/>
  <c r="CA32" i="35"/>
  <c r="BZ32" i="35" s="1"/>
  <c r="CA29" i="12"/>
  <c r="BZ29" i="12" s="1"/>
  <c r="CA31" i="12"/>
  <c r="BZ31" i="12" s="1"/>
  <c r="CA33" i="12"/>
  <c r="BZ33" i="12" s="1"/>
  <c r="CA15" i="12"/>
  <c r="BZ15" i="12" s="1"/>
  <c r="BZ20" i="12"/>
  <c r="CD4" i="12" s="1"/>
  <c r="CA6" i="12"/>
  <c r="CA14" i="12"/>
  <c r="BZ14" i="12" s="1"/>
  <c r="CA22" i="12"/>
  <c r="CA24" i="12"/>
  <c r="BZ24" i="12" s="1"/>
  <c r="CA30" i="12"/>
  <c r="BZ30" i="12" s="1"/>
  <c r="CA32" i="12"/>
  <c r="BZ32" i="12" s="1"/>
  <c r="CA29" i="36"/>
  <c r="BZ29" i="36" s="1"/>
  <c r="CA31" i="36"/>
  <c r="BZ31" i="36" s="1"/>
  <c r="CA33" i="36"/>
  <c r="BZ33" i="36" s="1"/>
  <c r="CA15" i="36"/>
  <c r="BZ15" i="36" s="1"/>
  <c r="BZ20" i="36"/>
  <c r="CD4" i="36" s="1"/>
  <c r="CA6" i="36"/>
  <c r="CA14" i="36"/>
  <c r="BZ14" i="36" s="1"/>
  <c r="CA22" i="36"/>
  <c r="CA24" i="36"/>
  <c r="BZ24" i="36" s="1"/>
  <c r="CA30" i="36"/>
  <c r="BZ30" i="36" s="1"/>
  <c r="CA32" i="36"/>
  <c r="BZ32" i="36" s="1"/>
  <c r="CA15" i="19"/>
  <c r="BZ15" i="19" s="1"/>
  <c r="BZ20" i="19"/>
  <c r="CD4" i="19" s="1"/>
  <c r="CA6" i="19"/>
  <c r="CA14" i="19"/>
  <c r="BZ14" i="19" s="1"/>
  <c r="CA22" i="19"/>
  <c r="CA24" i="19"/>
  <c r="BZ24" i="19" s="1"/>
  <c r="CA30" i="19"/>
  <c r="BZ30" i="19" s="1"/>
  <c r="CA32" i="19"/>
  <c r="BZ32" i="19" s="1"/>
  <c r="CA16" i="20"/>
  <c r="BZ16" i="20" s="1"/>
  <c r="CA29" i="20"/>
  <c r="BZ29" i="20" s="1"/>
  <c r="CA31" i="20"/>
  <c r="BZ31" i="20" s="1"/>
  <c r="CA33" i="20"/>
  <c r="BZ33" i="20" s="1"/>
  <c r="CA15" i="20"/>
  <c r="BZ15" i="20" s="1"/>
  <c r="BZ20" i="20"/>
  <c r="CD4" i="20" s="1"/>
  <c r="CA6" i="20"/>
  <c r="CA14" i="20"/>
  <c r="BZ14" i="20" s="1"/>
  <c r="CA22" i="20"/>
  <c r="CA24" i="20"/>
  <c r="BZ24" i="20" s="1"/>
  <c r="CA30" i="20"/>
  <c r="BZ30" i="20" s="1"/>
  <c r="CA32" i="20"/>
  <c r="BZ32" i="20" s="1"/>
  <c r="AH12" i="33" l="1"/>
  <c r="AH13" i="33"/>
  <c r="AH9" i="33"/>
  <c r="AH14" i="33"/>
  <c r="AD28" i="33"/>
  <c r="AC28" i="33" s="1"/>
  <c r="AC27" i="33"/>
  <c r="AD12" i="33"/>
  <c r="AC12" i="33" s="1"/>
  <c r="AC11" i="33"/>
  <c r="BZ21" i="36"/>
  <c r="BZ18" i="36" s="1"/>
  <c r="BZ21" i="20"/>
  <c r="BZ18" i="20" s="1"/>
  <c r="CA18" i="35"/>
  <c r="BZ21" i="35"/>
  <c r="BZ18" i="35" s="1"/>
  <c r="CA18" i="8"/>
  <c r="BZ6" i="8"/>
  <c r="BZ22" i="8"/>
  <c r="CA27" i="8"/>
  <c r="CA28" i="8" s="1"/>
  <c r="BZ28" i="8" s="1"/>
  <c r="CA11" i="8"/>
  <c r="CA12" i="8" s="1"/>
  <c r="BZ12" i="8" s="1"/>
  <c r="CA23" i="8"/>
  <c r="BZ23" i="8" s="1"/>
  <c r="CA7" i="8"/>
  <c r="BZ7" i="8" s="1"/>
  <c r="CE12" i="8"/>
  <c r="CE13" i="8"/>
  <c r="CE9" i="8"/>
  <c r="CE14" i="8"/>
  <c r="CA26" i="35"/>
  <c r="BZ26" i="35" s="1"/>
  <c r="BZ22" i="35"/>
  <c r="CA27" i="35"/>
  <c r="CA23" i="35"/>
  <c r="BZ23" i="35" s="1"/>
  <c r="CA10" i="35"/>
  <c r="BZ10" i="35" s="1"/>
  <c r="CA11" i="35"/>
  <c r="CA7" i="35"/>
  <c r="BZ7" i="35" s="1"/>
  <c r="BZ6" i="35"/>
  <c r="CE20" i="35"/>
  <c r="CE15" i="35"/>
  <c r="CE11" i="35"/>
  <c r="CE7" i="35"/>
  <c r="CE16" i="35"/>
  <c r="CE8" i="35"/>
  <c r="CE18" i="35"/>
  <c r="CE19" i="35"/>
  <c r="CE17" i="35"/>
  <c r="CE10" i="35"/>
  <c r="CE6" i="35"/>
  <c r="CA26" i="12"/>
  <c r="BZ26" i="12" s="1"/>
  <c r="BZ22" i="12"/>
  <c r="CA23" i="12"/>
  <c r="BZ23" i="12" s="1"/>
  <c r="CA27" i="12"/>
  <c r="CA10" i="12"/>
  <c r="BZ10" i="12" s="1"/>
  <c r="CA11" i="12"/>
  <c r="CA7" i="12"/>
  <c r="BZ7" i="12" s="1"/>
  <c r="BZ6" i="12"/>
  <c r="CE20" i="12"/>
  <c r="CE15" i="12"/>
  <c r="CE11" i="12"/>
  <c r="CE7" i="12"/>
  <c r="CE19" i="12"/>
  <c r="CE6" i="12"/>
  <c r="CE16" i="12"/>
  <c r="CE8" i="12"/>
  <c r="CE17" i="12"/>
  <c r="CE18" i="12"/>
  <c r="CE10" i="12"/>
  <c r="CA10" i="36"/>
  <c r="BZ10" i="36" s="1"/>
  <c r="CA11" i="36"/>
  <c r="CA7" i="36"/>
  <c r="BZ7" i="36" s="1"/>
  <c r="BZ6" i="36"/>
  <c r="CA26" i="36"/>
  <c r="BZ26" i="36" s="1"/>
  <c r="BZ22" i="36"/>
  <c r="CA23" i="36"/>
  <c r="BZ23" i="36" s="1"/>
  <c r="CA27" i="36"/>
  <c r="CE20" i="36"/>
  <c r="CE15" i="36"/>
  <c r="CE11" i="36"/>
  <c r="CE7" i="36"/>
  <c r="CE10" i="36"/>
  <c r="CE16" i="36"/>
  <c r="CE8" i="36"/>
  <c r="CE19" i="36"/>
  <c r="CE17" i="36"/>
  <c r="CE18" i="36"/>
  <c r="CE6" i="36"/>
  <c r="CA26" i="19"/>
  <c r="BZ26" i="19" s="1"/>
  <c r="CA27" i="19"/>
  <c r="CA23" i="19"/>
  <c r="BZ23" i="19" s="1"/>
  <c r="BZ22" i="19"/>
  <c r="CA10" i="19"/>
  <c r="BZ10" i="19" s="1"/>
  <c r="CA11" i="19"/>
  <c r="CA7" i="19"/>
  <c r="BZ7" i="19" s="1"/>
  <c r="BZ6" i="19"/>
  <c r="CE20" i="19"/>
  <c r="CE15" i="19"/>
  <c r="CE11" i="19"/>
  <c r="CE7" i="19"/>
  <c r="CE17" i="19"/>
  <c r="CE18" i="19"/>
  <c r="CE16" i="19"/>
  <c r="CE8" i="19"/>
  <c r="CE19" i="19"/>
  <c r="CE10" i="19"/>
  <c r="CE6" i="19"/>
  <c r="CA26" i="20"/>
  <c r="BZ26" i="20" s="1"/>
  <c r="CA23" i="20"/>
  <c r="BZ23" i="20" s="1"/>
  <c r="BZ22" i="20"/>
  <c r="CA27" i="20"/>
  <c r="CA10" i="20"/>
  <c r="BZ10" i="20" s="1"/>
  <c r="CA11" i="20"/>
  <c r="CA7" i="20"/>
  <c r="BZ7" i="20" s="1"/>
  <c r="BZ6" i="20"/>
  <c r="CE20" i="20"/>
  <c r="CE15" i="20"/>
  <c r="CE11" i="20"/>
  <c r="CE7" i="20"/>
  <c r="CE10" i="20"/>
  <c r="CE16" i="20"/>
  <c r="CE8" i="20"/>
  <c r="CE17" i="20"/>
  <c r="CE6" i="20"/>
  <c r="CE19" i="20"/>
  <c r="CE18" i="20"/>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3" i="41"/>
  <c r="B3" i="41"/>
  <c r="B4" i="41" s="1"/>
  <c r="B5" i="41" s="1"/>
  <c r="B6" i="41" s="1"/>
  <c r="B7" i="41" s="1"/>
  <c r="B8" i="41" s="1"/>
  <c r="B9" i="41" s="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A3" i="41"/>
  <c r="A4" i="41" s="1"/>
  <c r="A5" i="41" s="1"/>
  <c r="A6" i="41" s="1"/>
  <c r="A7" i="41" s="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BZ11" i="8" l="1"/>
  <c r="BZ27" i="8"/>
  <c r="CA28" i="35"/>
  <c r="BZ28" i="35" s="1"/>
  <c r="BZ27" i="35"/>
  <c r="CE12" i="35"/>
  <c r="CE14" i="35"/>
  <c r="CE13" i="35"/>
  <c r="CE9" i="35"/>
  <c r="BZ11" i="35"/>
  <c r="CA12" i="35"/>
  <c r="BZ12" i="35" s="1"/>
  <c r="CE13" i="12"/>
  <c r="CE9" i="12"/>
  <c r="CE12" i="12"/>
  <c r="CE14" i="12"/>
  <c r="CA28" i="12"/>
  <c r="BZ28" i="12" s="1"/>
  <c r="BZ27" i="12"/>
  <c r="CA12" i="12"/>
  <c r="BZ12" i="12" s="1"/>
  <c r="BZ11" i="12"/>
  <c r="CE14" i="36"/>
  <c r="CE12" i="36"/>
  <c r="CE13" i="36"/>
  <c r="CE9" i="36"/>
  <c r="CA12" i="36"/>
  <c r="BZ12" i="36" s="1"/>
  <c r="BZ11" i="36"/>
  <c r="CA28" i="36"/>
  <c r="BZ28" i="36" s="1"/>
  <c r="BZ27" i="36"/>
  <c r="CE14" i="19"/>
  <c r="CE12" i="19"/>
  <c r="CE13" i="19"/>
  <c r="CE9" i="19"/>
  <c r="BZ11" i="19"/>
  <c r="CA12" i="19"/>
  <c r="BZ12" i="19" s="1"/>
  <c r="CA28" i="19"/>
  <c r="BZ28" i="19" s="1"/>
  <c r="BZ27" i="19"/>
  <c r="CE12" i="20"/>
  <c r="CE13" i="20"/>
  <c r="CE9" i="20"/>
  <c r="CE14" i="20"/>
  <c r="CA12" i="20"/>
  <c r="BZ12" i="20" s="1"/>
  <c r="BZ11" i="20"/>
  <c r="CA28" i="20"/>
  <c r="BZ28" i="20" s="1"/>
  <c r="BZ27" i="20"/>
  <c r="G34" i="41"/>
  <c r="BC14" i="39" l="1"/>
  <c r="B9" i="39"/>
  <c r="B13" i="39" s="1"/>
  <c r="AD8" i="39" s="1"/>
  <c r="BP95" i="39"/>
  <c r="BN79" i="39"/>
  <c r="BN73" i="39"/>
  <c r="BN67" i="39"/>
  <c r="BN65" i="39"/>
  <c r="CK62" i="39"/>
  <c r="BN62" i="39"/>
  <c r="CK61" i="39"/>
  <c r="CK60" i="39"/>
  <c r="CK59" i="39"/>
  <c r="CK58" i="39"/>
  <c r="CK57" i="39"/>
  <c r="BN57" i="39"/>
  <c r="CK56" i="39"/>
  <c r="CK55" i="39"/>
  <c r="CK54" i="39"/>
  <c r="CK52" i="39"/>
  <c r="BN52" i="39"/>
  <c r="CK51" i="39"/>
  <c r="BN50" i="39"/>
  <c r="AI49" i="39"/>
  <c r="AH49" i="39"/>
  <c r="AG49" i="39"/>
  <c r="AF49" i="39"/>
  <c r="AE49" i="39"/>
  <c r="AD49" i="39"/>
  <c r="AC49" i="39"/>
  <c r="AB49" i="39"/>
  <c r="AA49" i="39"/>
  <c r="Z49" i="39"/>
  <c r="Y49" i="39"/>
  <c r="X49" i="39"/>
  <c r="W49" i="39"/>
  <c r="V49" i="39"/>
  <c r="U49" i="39"/>
  <c r="T49" i="39"/>
  <c r="S49" i="39"/>
  <c r="R49" i="39"/>
  <c r="Q49" i="39"/>
  <c r="P49" i="39"/>
  <c r="O49" i="39"/>
  <c r="N49" i="39"/>
  <c r="M49" i="39"/>
  <c r="L49" i="39"/>
  <c r="K49" i="39"/>
  <c r="J49" i="39"/>
  <c r="I49" i="39"/>
  <c r="H49" i="39"/>
  <c r="G49" i="39"/>
  <c r="F49" i="39"/>
  <c r="E49" i="39"/>
  <c r="D49" i="39"/>
  <c r="C49" i="39"/>
  <c r="CK48" i="39"/>
  <c r="BN48" i="39"/>
  <c r="AZ48" i="39"/>
  <c r="AY48" i="39"/>
  <c r="AX48" i="39"/>
  <c r="AW48" i="39"/>
  <c r="AV48" i="39"/>
  <c r="AU48" i="39"/>
  <c r="AT48" i="39"/>
  <c r="AS48" i="39"/>
  <c r="AR48" i="39"/>
  <c r="AQ48" i="39"/>
  <c r="AP48" i="39"/>
  <c r="AO48" i="39"/>
  <c r="AN48" i="39"/>
  <c r="AM48" i="39"/>
  <c r="AI47" i="39"/>
  <c r="AH47" i="39"/>
  <c r="AG47" i="39"/>
  <c r="AF47" i="39"/>
  <c r="AE47" i="39"/>
  <c r="AD47" i="39"/>
  <c r="AC47" i="39"/>
  <c r="AB47" i="39"/>
  <c r="AA47" i="39"/>
  <c r="Z47" i="39"/>
  <c r="Y47" i="39"/>
  <c r="X47" i="39"/>
  <c r="W47" i="39"/>
  <c r="V47" i="39"/>
  <c r="U47" i="39"/>
  <c r="T47" i="39"/>
  <c r="S47" i="39"/>
  <c r="R47" i="39"/>
  <c r="Q47" i="39"/>
  <c r="P47" i="39"/>
  <c r="O47" i="39"/>
  <c r="N47" i="39"/>
  <c r="M47" i="39"/>
  <c r="L47" i="39"/>
  <c r="K47" i="39"/>
  <c r="J47" i="39"/>
  <c r="I47" i="39"/>
  <c r="H47" i="39"/>
  <c r="G47" i="39"/>
  <c r="F47" i="39"/>
  <c r="E47" i="39"/>
  <c r="D47" i="39"/>
  <c r="C47" i="39"/>
  <c r="CK46" i="39"/>
  <c r="BN46" i="39"/>
  <c r="AZ46" i="39"/>
  <c r="AY46" i="39"/>
  <c r="AX46" i="39"/>
  <c r="AW46" i="39"/>
  <c r="AV46" i="39"/>
  <c r="AU46" i="39"/>
  <c r="AT46" i="39"/>
  <c r="AS46" i="39"/>
  <c r="AR46" i="39"/>
  <c r="AQ46" i="39"/>
  <c r="AP46" i="39"/>
  <c r="AO46" i="39"/>
  <c r="AN46" i="39"/>
  <c r="AM46" i="39"/>
  <c r="AI45" i="39"/>
  <c r="AH45" i="39"/>
  <c r="AG45" i="39"/>
  <c r="AF45" i="39"/>
  <c r="AE45" i="39"/>
  <c r="AD45" i="39"/>
  <c r="AC45" i="39"/>
  <c r="AB45" i="39"/>
  <c r="AA45" i="39"/>
  <c r="Z45" i="39"/>
  <c r="Y45" i="39"/>
  <c r="X45" i="39"/>
  <c r="W45" i="39"/>
  <c r="V45" i="39"/>
  <c r="U45" i="39"/>
  <c r="T45" i="39"/>
  <c r="S45" i="39"/>
  <c r="R45" i="39"/>
  <c r="Q45" i="39"/>
  <c r="P45" i="39"/>
  <c r="O45" i="39"/>
  <c r="N45" i="39"/>
  <c r="M45" i="39"/>
  <c r="L45" i="39"/>
  <c r="K45" i="39"/>
  <c r="J45" i="39"/>
  <c r="I45" i="39"/>
  <c r="H45" i="39"/>
  <c r="G45" i="39"/>
  <c r="F45" i="39"/>
  <c r="E45" i="39"/>
  <c r="D45" i="39"/>
  <c r="C45" i="39"/>
  <c r="CK44" i="39"/>
  <c r="BN44" i="39"/>
  <c r="AZ44" i="39"/>
  <c r="AY44" i="39"/>
  <c r="AX44" i="39"/>
  <c r="AW44" i="39"/>
  <c r="AV44" i="39"/>
  <c r="AU44" i="39"/>
  <c r="AT44" i="39"/>
  <c r="AS44" i="39"/>
  <c r="AR44" i="39"/>
  <c r="AQ44" i="39"/>
  <c r="AP44" i="39"/>
  <c r="AO44" i="39"/>
  <c r="AN44" i="39"/>
  <c r="AM44" i="39"/>
  <c r="AI43" i="39"/>
  <c r="AH43" i="39"/>
  <c r="AG43" i="39"/>
  <c r="AF43" i="39"/>
  <c r="AE43" i="39"/>
  <c r="AD43" i="39"/>
  <c r="AC43" i="39"/>
  <c r="AB43" i="39"/>
  <c r="AA43" i="39"/>
  <c r="Z43" i="39"/>
  <c r="Y43" i="39"/>
  <c r="X43" i="39"/>
  <c r="W43" i="39"/>
  <c r="V43" i="39"/>
  <c r="U43" i="39"/>
  <c r="T43" i="39"/>
  <c r="S43" i="39"/>
  <c r="R43" i="39"/>
  <c r="Q43" i="39"/>
  <c r="P43" i="39"/>
  <c r="O43" i="39"/>
  <c r="N43" i="39"/>
  <c r="M43" i="39"/>
  <c r="L43" i="39"/>
  <c r="K43" i="39"/>
  <c r="J43" i="39"/>
  <c r="I43" i="39"/>
  <c r="H43" i="39"/>
  <c r="G43" i="39"/>
  <c r="F43" i="39"/>
  <c r="E43" i="39"/>
  <c r="D43" i="39"/>
  <c r="C43" i="39"/>
  <c r="CK42" i="39"/>
  <c r="BN42" i="39"/>
  <c r="AZ42" i="39"/>
  <c r="AY42" i="39"/>
  <c r="AX42" i="39"/>
  <c r="AW42" i="39"/>
  <c r="AV42" i="39"/>
  <c r="AU42" i="39"/>
  <c r="AT42" i="39"/>
  <c r="AS42" i="39"/>
  <c r="AR42" i="39"/>
  <c r="AQ42" i="39"/>
  <c r="AP42" i="39"/>
  <c r="AO42" i="39"/>
  <c r="AN42" i="39"/>
  <c r="AM42" i="39"/>
  <c r="AI41" i="39"/>
  <c r="AH41" i="39"/>
  <c r="AG41" i="39"/>
  <c r="AF41" i="39"/>
  <c r="AE41" i="39"/>
  <c r="AD41" i="39"/>
  <c r="AC41" i="39"/>
  <c r="AB41" i="39"/>
  <c r="AA41" i="39"/>
  <c r="Z41" i="39"/>
  <c r="Y41" i="39"/>
  <c r="X41" i="39"/>
  <c r="W41" i="39"/>
  <c r="V41" i="39"/>
  <c r="U41" i="39"/>
  <c r="T41" i="39"/>
  <c r="S41" i="39"/>
  <c r="R41" i="39"/>
  <c r="Q41" i="39"/>
  <c r="P41" i="39"/>
  <c r="O41" i="39"/>
  <c r="N41" i="39"/>
  <c r="M41" i="39"/>
  <c r="L41" i="39"/>
  <c r="K41" i="39"/>
  <c r="J41" i="39"/>
  <c r="I41" i="39"/>
  <c r="H41" i="39"/>
  <c r="G41" i="39"/>
  <c r="F41" i="39"/>
  <c r="E41" i="39"/>
  <c r="D41" i="39"/>
  <c r="C41" i="39"/>
  <c r="CK40" i="39"/>
  <c r="AZ40" i="39"/>
  <c r="AY40" i="39"/>
  <c r="AX40" i="39"/>
  <c r="AW40" i="39"/>
  <c r="AV40" i="39"/>
  <c r="AU40" i="39"/>
  <c r="AT40" i="39"/>
  <c r="AS40" i="39"/>
  <c r="AR40" i="39"/>
  <c r="AQ40" i="39"/>
  <c r="AP40" i="39"/>
  <c r="AO40" i="39"/>
  <c r="AN40" i="39"/>
  <c r="AM40" i="39"/>
  <c r="AI39" i="39"/>
  <c r="AH39" i="39"/>
  <c r="AG39" i="39"/>
  <c r="AF39" i="39"/>
  <c r="AE39" i="39"/>
  <c r="AD39" i="39"/>
  <c r="AC39" i="39"/>
  <c r="AB39" i="39"/>
  <c r="AA39" i="39"/>
  <c r="Z39" i="39"/>
  <c r="Y39" i="39"/>
  <c r="X39" i="39"/>
  <c r="W39" i="39"/>
  <c r="V39" i="39"/>
  <c r="U39" i="39"/>
  <c r="T39" i="39"/>
  <c r="S39" i="39"/>
  <c r="R39" i="39"/>
  <c r="Q39" i="39"/>
  <c r="P39" i="39"/>
  <c r="O39" i="39"/>
  <c r="N39" i="39"/>
  <c r="M39" i="39"/>
  <c r="L39" i="39"/>
  <c r="K39" i="39"/>
  <c r="J39" i="39"/>
  <c r="I39" i="39"/>
  <c r="H39" i="39"/>
  <c r="G39" i="39"/>
  <c r="F39" i="39"/>
  <c r="E39" i="39"/>
  <c r="D39" i="39"/>
  <c r="C39" i="39"/>
  <c r="BN38" i="39"/>
  <c r="AZ38" i="39"/>
  <c r="AY38" i="39"/>
  <c r="AX38" i="39"/>
  <c r="AW38" i="39"/>
  <c r="AV38" i="39"/>
  <c r="AU38" i="39"/>
  <c r="AT38" i="39"/>
  <c r="AS38" i="39"/>
  <c r="AR38" i="39"/>
  <c r="AQ38" i="39"/>
  <c r="AP38" i="39"/>
  <c r="AO38" i="39"/>
  <c r="AN38" i="39"/>
  <c r="AM38" i="39"/>
  <c r="AI37" i="39"/>
  <c r="AH37" i="39"/>
  <c r="AG37" i="39"/>
  <c r="AF37" i="39"/>
  <c r="AE37" i="39"/>
  <c r="AD37" i="39"/>
  <c r="AC37" i="39"/>
  <c r="AB37" i="39"/>
  <c r="AA37" i="39"/>
  <c r="Z37" i="39"/>
  <c r="Y37" i="39"/>
  <c r="X37" i="39"/>
  <c r="W37" i="39"/>
  <c r="V37" i="39"/>
  <c r="U37" i="39"/>
  <c r="T37" i="39"/>
  <c r="S37" i="39"/>
  <c r="R37" i="39"/>
  <c r="Q37" i="39"/>
  <c r="P37" i="39"/>
  <c r="O37" i="39"/>
  <c r="N37" i="39"/>
  <c r="M37" i="39"/>
  <c r="L37" i="39"/>
  <c r="K37" i="39"/>
  <c r="J37" i="39"/>
  <c r="I37" i="39"/>
  <c r="H37" i="39"/>
  <c r="G37" i="39"/>
  <c r="F37" i="39"/>
  <c r="E37" i="39"/>
  <c r="D37" i="39"/>
  <c r="C37" i="39"/>
  <c r="BN36" i="39"/>
  <c r="AZ36" i="39"/>
  <c r="AY36" i="39"/>
  <c r="AX36" i="39"/>
  <c r="AW36" i="39"/>
  <c r="AV36" i="39"/>
  <c r="AU36" i="39"/>
  <c r="AT36" i="39"/>
  <c r="AS36" i="39"/>
  <c r="AR36" i="39"/>
  <c r="AQ36" i="39"/>
  <c r="AP36" i="39"/>
  <c r="AO36" i="39"/>
  <c r="AN36" i="39"/>
  <c r="AM36" i="39"/>
  <c r="BD35" i="39"/>
  <c r="BC35" i="39" s="1"/>
  <c r="AI35" i="39"/>
  <c r="AH35" i="39"/>
  <c r="AG35" i="39"/>
  <c r="AF35" i="39"/>
  <c r="AE35" i="39"/>
  <c r="AD35" i="39"/>
  <c r="AC35" i="39"/>
  <c r="AB35" i="39"/>
  <c r="AA35" i="39"/>
  <c r="Z35" i="39"/>
  <c r="Y35" i="39"/>
  <c r="X35" i="39"/>
  <c r="W35" i="39"/>
  <c r="V35" i="39"/>
  <c r="U35" i="39"/>
  <c r="T35" i="39"/>
  <c r="S35" i="39"/>
  <c r="R35" i="39"/>
  <c r="Q35" i="39"/>
  <c r="P35" i="39"/>
  <c r="O35" i="39"/>
  <c r="N35" i="39"/>
  <c r="M35" i="39"/>
  <c r="L35" i="39"/>
  <c r="K35" i="39"/>
  <c r="J35" i="39"/>
  <c r="I35" i="39"/>
  <c r="H35" i="39"/>
  <c r="G35" i="39"/>
  <c r="F35" i="39"/>
  <c r="E35" i="39"/>
  <c r="D35" i="39"/>
  <c r="C35" i="39"/>
  <c r="BN34" i="39"/>
  <c r="AZ34" i="39"/>
  <c r="AY34" i="39"/>
  <c r="AX34" i="39"/>
  <c r="AW34" i="39"/>
  <c r="AV34" i="39"/>
  <c r="AU34" i="39"/>
  <c r="AT34" i="39"/>
  <c r="AS34" i="39"/>
  <c r="AR34" i="39"/>
  <c r="AQ34" i="39"/>
  <c r="AP34" i="39"/>
  <c r="AO34" i="39"/>
  <c r="AN34" i="39"/>
  <c r="AM34" i="39"/>
  <c r="AM33" i="39"/>
  <c r="BN32" i="39"/>
  <c r="AM32" i="39"/>
  <c r="AI31" i="39"/>
  <c r="AH31" i="39"/>
  <c r="AG31" i="39"/>
  <c r="AF31"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D31" i="39"/>
  <c r="C31" i="39"/>
  <c r="BN30" i="39"/>
  <c r="AZ30" i="39"/>
  <c r="AY30" i="39"/>
  <c r="AX30" i="39"/>
  <c r="AW30" i="39"/>
  <c r="AV30" i="39"/>
  <c r="AU30" i="39"/>
  <c r="AT30" i="39"/>
  <c r="AS30" i="39"/>
  <c r="AR30" i="39"/>
  <c r="AQ30" i="39"/>
  <c r="AP30" i="39"/>
  <c r="AO30" i="39"/>
  <c r="AN30" i="39"/>
  <c r="AM30"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9" i="39"/>
  <c r="C29" i="39"/>
  <c r="BN28" i="39"/>
  <c r="AZ28" i="39"/>
  <c r="AY28" i="39"/>
  <c r="AX28" i="39"/>
  <c r="AW28" i="39"/>
  <c r="AV28" i="39"/>
  <c r="AU28" i="39"/>
  <c r="AT28" i="39"/>
  <c r="AS28" i="39"/>
  <c r="AR28" i="39"/>
  <c r="AQ28" i="39"/>
  <c r="AP28" i="39"/>
  <c r="AO28" i="39"/>
  <c r="AN28" i="39"/>
  <c r="AM28" i="39"/>
  <c r="AI27" i="39"/>
  <c r="AH27" i="39"/>
  <c r="AG27" i="39"/>
  <c r="AF27" i="39"/>
  <c r="AE27" i="39"/>
  <c r="AD27" i="39"/>
  <c r="AC27" i="39"/>
  <c r="AB27" i="39"/>
  <c r="AA27" i="39"/>
  <c r="Z27" i="39"/>
  <c r="Y27" i="39"/>
  <c r="X27" i="39"/>
  <c r="W27" i="39"/>
  <c r="V27" i="39"/>
  <c r="U27" i="39"/>
  <c r="T27" i="39"/>
  <c r="S27" i="39"/>
  <c r="R27" i="39"/>
  <c r="Q27" i="39"/>
  <c r="P27" i="39"/>
  <c r="O27" i="39"/>
  <c r="N27" i="39"/>
  <c r="M27" i="39"/>
  <c r="L27" i="39"/>
  <c r="K27" i="39"/>
  <c r="J27" i="39"/>
  <c r="I27" i="39"/>
  <c r="H27" i="39"/>
  <c r="G27" i="39"/>
  <c r="F27" i="39"/>
  <c r="E27" i="39"/>
  <c r="D27" i="39"/>
  <c r="C27" i="39"/>
  <c r="BN26" i="39"/>
  <c r="AZ26" i="39"/>
  <c r="AY26" i="39"/>
  <c r="AX26" i="39"/>
  <c r="AW26" i="39"/>
  <c r="AV26" i="39"/>
  <c r="AU26" i="39"/>
  <c r="AT26" i="39"/>
  <c r="AS26" i="39"/>
  <c r="AR26" i="39"/>
  <c r="AQ26" i="39"/>
  <c r="AP26" i="39"/>
  <c r="AO26" i="39"/>
  <c r="AN26" i="39"/>
  <c r="AM26" i="39"/>
  <c r="AI25" i="39"/>
  <c r="AH25" i="39"/>
  <c r="AG25" i="39"/>
  <c r="AF25" i="39"/>
  <c r="AE25" i="39"/>
  <c r="AD25" i="39"/>
  <c r="AC25" i="39"/>
  <c r="AB25" i="39"/>
  <c r="AA25" i="39"/>
  <c r="Z25" i="39"/>
  <c r="Y25" i="39"/>
  <c r="X25" i="39"/>
  <c r="W25" i="39"/>
  <c r="V25" i="39"/>
  <c r="U25" i="39"/>
  <c r="T25" i="39"/>
  <c r="S25" i="39"/>
  <c r="R25" i="39"/>
  <c r="Q25" i="39"/>
  <c r="P25" i="39"/>
  <c r="O25" i="39"/>
  <c r="N25" i="39"/>
  <c r="M25" i="39"/>
  <c r="L25" i="39"/>
  <c r="K25" i="39"/>
  <c r="J25" i="39"/>
  <c r="I25" i="39"/>
  <c r="H25" i="39"/>
  <c r="G25" i="39"/>
  <c r="F25" i="39"/>
  <c r="E25" i="39"/>
  <c r="D25" i="39"/>
  <c r="C25" i="39"/>
  <c r="BN24" i="39"/>
  <c r="AZ24" i="39"/>
  <c r="AY24" i="39"/>
  <c r="AX24" i="39"/>
  <c r="AW24" i="39"/>
  <c r="AV24" i="39"/>
  <c r="AU24" i="39"/>
  <c r="AT24" i="39"/>
  <c r="AS24" i="39"/>
  <c r="AR24" i="39"/>
  <c r="AQ24" i="39"/>
  <c r="AP24" i="39"/>
  <c r="AO24" i="39"/>
  <c r="AN24" i="39"/>
  <c r="AM24" i="39"/>
  <c r="AI23" i="39"/>
  <c r="AH23" i="39"/>
  <c r="AG23" i="39"/>
  <c r="AF23" i="39"/>
  <c r="AE23" i="39"/>
  <c r="AD23" i="39"/>
  <c r="AC23" i="39"/>
  <c r="AB23" i="39"/>
  <c r="AA23" i="39"/>
  <c r="Z23" i="39"/>
  <c r="Y23" i="39"/>
  <c r="X23" i="39"/>
  <c r="W23" i="39"/>
  <c r="V23" i="39"/>
  <c r="U23" i="39"/>
  <c r="T23" i="39"/>
  <c r="S23" i="39"/>
  <c r="R23" i="39"/>
  <c r="Q23" i="39"/>
  <c r="P23" i="39"/>
  <c r="O23" i="39"/>
  <c r="N23" i="39"/>
  <c r="M23" i="39"/>
  <c r="L23" i="39"/>
  <c r="K23" i="39"/>
  <c r="J23" i="39"/>
  <c r="I23" i="39"/>
  <c r="H23" i="39"/>
  <c r="G23" i="39"/>
  <c r="F23" i="39"/>
  <c r="E23" i="39"/>
  <c r="D23" i="39"/>
  <c r="C23" i="39"/>
  <c r="BN22" i="39"/>
  <c r="AZ22" i="39"/>
  <c r="AY22" i="39"/>
  <c r="AX22" i="39"/>
  <c r="AW22" i="39"/>
  <c r="AV22" i="39"/>
  <c r="AU22" i="39"/>
  <c r="AT22" i="39"/>
  <c r="AS22" i="39"/>
  <c r="AR22" i="39"/>
  <c r="AQ22" i="39"/>
  <c r="AP22" i="39"/>
  <c r="AO22" i="39"/>
  <c r="AN22" i="39"/>
  <c r="AM22" i="39"/>
  <c r="AI21" i="39"/>
  <c r="AH21" i="39"/>
  <c r="AG21" i="39"/>
  <c r="AF21" i="39"/>
  <c r="AE21" i="39"/>
  <c r="AD21" i="39"/>
  <c r="AC21" i="39"/>
  <c r="AB21" i="39"/>
  <c r="AA21" i="39"/>
  <c r="Z21" i="39"/>
  <c r="Y21" i="39"/>
  <c r="X21" i="39"/>
  <c r="W21" i="39"/>
  <c r="V21" i="39"/>
  <c r="U21" i="39"/>
  <c r="T21" i="39"/>
  <c r="S21" i="39"/>
  <c r="R21" i="39"/>
  <c r="Q21" i="39"/>
  <c r="P21" i="39"/>
  <c r="O21" i="39"/>
  <c r="N21" i="39"/>
  <c r="M21" i="39"/>
  <c r="L21" i="39"/>
  <c r="K21" i="39"/>
  <c r="J21" i="39"/>
  <c r="I21" i="39"/>
  <c r="H21" i="39"/>
  <c r="G21" i="39"/>
  <c r="F21" i="39"/>
  <c r="E21" i="39"/>
  <c r="D21" i="39"/>
  <c r="C21" i="39"/>
  <c r="BN20" i="39"/>
  <c r="AZ20" i="39"/>
  <c r="AY20" i="39"/>
  <c r="AX20" i="39"/>
  <c r="AW20" i="39"/>
  <c r="AV20" i="39"/>
  <c r="AU20" i="39"/>
  <c r="AT20" i="39"/>
  <c r="AS20" i="39"/>
  <c r="AR20" i="39"/>
  <c r="AQ20" i="39"/>
  <c r="AP20" i="39"/>
  <c r="AO20" i="39"/>
  <c r="AN20" i="39"/>
  <c r="AM20" i="39"/>
  <c r="AI19" i="39"/>
  <c r="AH19" i="39"/>
  <c r="AG19" i="39"/>
  <c r="AF19" i="39"/>
  <c r="AE19" i="39"/>
  <c r="AD19" i="39"/>
  <c r="AC19" i="39"/>
  <c r="AB19" i="39"/>
  <c r="AA19" i="39"/>
  <c r="Z19" i="39"/>
  <c r="Y19" i="39"/>
  <c r="X19" i="39"/>
  <c r="W19" i="39"/>
  <c r="V19" i="39"/>
  <c r="U19" i="39"/>
  <c r="T19" i="39"/>
  <c r="S19" i="39"/>
  <c r="R19" i="39"/>
  <c r="Q19" i="39"/>
  <c r="P19" i="39"/>
  <c r="O19" i="39"/>
  <c r="N19" i="39"/>
  <c r="M19" i="39"/>
  <c r="L19" i="39"/>
  <c r="K19" i="39"/>
  <c r="J19" i="39"/>
  <c r="I19" i="39"/>
  <c r="H19" i="39"/>
  <c r="G19" i="39"/>
  <c r="F19" i="39"/>
  <c r="E19" i="39"/>
  <c r="D19" i="39"/>
  <c r="C19" i="39"/>
  <c r="BN18" i="39"/>
  <c r="AZ18" i="39"/>
  <c r="AY18" i="39"/>
  <c r="AX18" i="39"/>
  <c r="AW18" i="39"/>
  <c r="AV18" i="39"/>
  <c r="AU18" i="39"/>
  <c r="AT18" i="39"/>
  <c r="AS18" i="39"/>
  <c r="AR18" i="39"/>
  <c r="AQ18" i="39"/>
  <c r="AP18" i="39"/>
  <c r="AO18" i="39"/>
  <c r="AN18" i="39"/>
  <c r="AM18" i="39"/>
  <c r="AI17" i="39"/>
  <c r="AH17" i="39"/>
  <c r="AG17" i="39"/>
  <c r="AF17" i="39"/>
  <c r="AE17" i="39"/>
  <c r="AD17" i="39"/>
  <c r="AC17" i="39"/>
  <c r="AB17" i="39"/>
  <c r="AA17" i="39"/>
  <c r="Z17" i="39"/>
  <c r="Y17" i="39"/>
  <c r="X17" i="39"/>
  <c r="W17" i="39"/>
  <c r="V17" i="39"/>
  <c r="U17" i="39"/>
  <c r="T17" i="39"/>
  <c r="S17" i="39"/>
  <c r="R17" i="39"/>
  <c r="Q17" i="39"/>
  <c r="P17" i="39"/>
  <c r="O17" i="39"/>
  <c r="N17" i="39"/>
  <c r="M17" i="39"/>
  <c r="L17" i="39"/>
  <c r="K17" i="39"/>
  <c r="J17" i="39"/>
  <c r="I17" i="39"/>
  <c r="H17" i="39"/>
  <c r="G17" i="39"/>
  <c r="F17" i="39"/>
  <c r="E17" i="39"/>
  <c r="D17" i="39"/>
  <c r="C17" i="39"/>
  <c r="BN16" i="39"/>
  <c r="AZ16" i="39"/>
  <c r="AY16" i="39"/>
  <c r="AX16" i="39"/>
  <c r="AW16" i="39"/>
  <c r="AV16" i="39"/>
  <c r="AU16" i="39"/>
  <c r="AT16" i="39"/>
  <c r="AS16" i="39"/>
  <c r="AR16" i="39"/>
  <c r="AQ16" i="39"/>
  <c r="AP16" i="39"/>
  <c r="AO16" i="39"/>
  <c r="AN16" i="39"/>
  <c r="AM16" i="39"/>
  <c r="AR15" i="39"/>
  <c r="AQ15" i="39"/>
  <c r="AP15" i="39"/>
  <c r="AO15" i="39"/>
  <c r="AN15" i="39"/>
  <c r="BY14" i="39"/>
  <c r="BN14" i="39"/>
  <c r="BD42" i="39"/>
  <c r="BC42" i="39" s="1"/>
  <c r="CJ13" i="39"/>
  <c r="BY11" i="39"/>
  <c r="Z8" i="39"/>
  <c r="T8" i="39"/>
  <c r="BU1" i="39"/>
  <c r="BV42" i="20"/>
  <c r="BV41" i="20"/>
  <c r="BV40" i="20"/>
  <c r="BV39" i="20"/>
  <c r="BV38" i="20"/>
  <c r="BV37" i="20"/>
  <c r="BV36" i="20"/>
  <c r="BV35" i="20"/>
  <c r="BV34" i="20"/>
  <c r="BV33" i="20"/>
  <c r="BV32" i="20"/>
  <c r="BV31" i="20"/>
  <c r="BV30" i="20"/>
  <c r="BV29" i="20"/>
  <c r="BV28" i="20"/>
  <c r="BV27" i="20"/>
  <c r="BV26" i="20"/>
  <c r="BJ10" i="20"/>
  <c r="BU9" i="20"/>
  <c r="BJ7" i="20"/>
  <c r="BV42" i="19"/>
  <c r="BV41" i="19"/>
  <c r="BV40" i="19"/>
  <c r="BV39" i="19"/>
  <c r="BV38" i="19"/>
  <c r="BV37" i="19"/>
  <c r="BV36" i="19"/>
  <c r="BV35" i="19"/>
  <c r="BV34" i="19"/>
  <c r="BV33" i="19"/>
  <c r="BV32" i="19"/>
  <c r="BV31" i="19"/>
  <c r="BV30" i="19"/>
  <c r="BV29" i="19"/>
  <c r="BV28" i="19"/>
  <c r="BV27" i="19"/>
  <c r="BV26" i="19"/>
  <c r="BJ10" i="19"/>
  <c r="BU9" i="19"/>
  <c r="BJ7" i="19"/>
  <c r="BU42" i="36"/>
  <c r="BU41" i="36"/>
  <c r="BU40" i="36"/>
  <c r="BU39" i="36"/>
  <c r="BU38" i="36"/>
  <c r="BU37" i="36"/>
  <c r="BU36" i="36"/>
  <c r="BU35" i="36"/>
  <c r="BU34" i="36"/>
  <c r="BU33" i="36"/>
  <c r="BU32" i="36"/>
  <c r="BU31" i="36"/>
  <c r="BU30" i="36"/>
  <c r="BU29" i="36"/>
  <c r="BU28" i="36"/>
  <c r="BU27" i="36"/>
  <c r="BU26" i="36"/>
  <c r="BI10" i="36"/>
  <c r="BT9" i="36"/>
  <c r="BI7" i="36"/>
  <c r="BU42" i="12"/>
  <c r="BU41" i="12"/>
  <c r="BU40" i="12"/>
  <c r="BU39" i="12"/>
  <c r="BU38" i="12"/>
  <c r="BU37" i="12"/>
  <c r="BU36" i="12"/>
  <c r="BU35" i="12"/>
  <c r="BU34" i="12"/>
  <c r="BU33" i="12"/>
  <c r="BU32" i="12"/>
  <c r="BU31" i="12"/>
  <c r="BU30" i="12"/>
  <c r="BU29" i="12"/>
  <c r="BU28" i="12"/>
  <c r="BU27" i="12"/>
  <c r="BU26" i="12"/>
  <c r="BI10" i="12"/>
  <c r="BT9" i="12"/>
  <c r="BI7" i="12"/>
  <c r="AD12" i="39" l="1"/>
  <c r="Z12" i="39"/>
  <c r="AF12" i="39"/>
  <c r="AA12" i="39"/>
  <c r="AE12" i="39"/>
  <c r="AB12" i="39"/>
  <c r="AC12" i="39"/>
  <c r="AG12" i="39"/>
  <c r="B17" i="39"/>
  <c r="B19" i="39"/>
  <c r="B21" i="39"/>
  <c r="B23" i="39"/>
  <c r="B25" i="39"/>
  <c r="B29" i="39"/>
  <c r="AM31" i="39"/>
  <c r="AM47" i="39"/>
  <c r="B35" i="39"/>
  <c r="B37" i="39"/>
  <c r="AM39" i="39"/>
  <c r="B41" i="39"/>
  <c r="B45" i="39"/>
  <c r="B49" i="39"/>
  <c r="B27" i="39"/>
  <c r="B43" i="39"/>
  <c r="B31" i="39"/>
  <c r="AM35" i="39"/>
  <c r="B39" i="39"/>
  <c r="AM43" i="39"/>
  <c r="AM45" i="39"/>
  <c r="B47" i="39"/>
  <c r="B10" i="39"/>
  <c r="AH12" i="39" s="1"/>
  <c r="C9" i="39"/>
  <c r="BD24" i="39"/>
  <c r="BC24" i="39" s="1"/>
  <c r="BD15" i="39"/>
  <c r="BC15" i="39" s="1"/>
  <c r="BD18" i="39"/>
  <c r="BC18" i="39" s="1"/>
  <c r="BD26" i="39"/>
  <c r="BC26" i="39" s="1"/>
  <c r="BD31" i="39"/>
  <c r="BD16" i="39"/>
  <c r="BD21" i="39" s="1"/>
  <c r="BC21" i="39" s="1"/>
  <c r="AM17" i="39"/>
  <c r="AM19" i="39"/>
  <c r="AM21" i="39"/>
  <c r="AM23" i="39"/>
  <c r="AM25" i="39"/>
  <c r="AM27" i="39"/>
  <c r="AM29" i="39"/>
  <c r="BC30" i="39"/>
  <c r="BG14" i="39" s="1"/>
  <c r="AM37" i="39"/>
  <c r="BD39" i="39"/>
  <c r="BC39" i="39" s="1"/>
  <c r="BD40" i="39"/>
  <c r="BC40" i="39" s="1"/>
  <c r="AM41" i="39"/>
  <c r="AM49" i="39"/>
  <c r="BD43" i="39"/>
  <c r="BC43" i="39" s="1"/>
  <c r="BD44" i="39"/>
  <c r="BC44" i="39" s="1"/>
  <c r="BD19" i="39"/>
  <c r="BC19" i="39" s="1"/>
  <c r="BD23" i="39"/>
  <c r="BC23" i="39" s="1"/>
  <c r="BD25" i="39"/>
  <c r="BC25" i="39" s="1"/>
  <c r="BD27" i="39"/>
  <c r="BC27" i="39" s="1"/>
  <c r="BD32" i="39"/>
  <c r="BD34" i="39"/>
  <c r="BC34" i="39" s="1"/>
  <c r="BD41" i="39"/>
  <c r="BC41" i="39" s="1"/>
  <c r="BA88" i="12"/>
  <c r="BA88" i="36"/>
  <c r="BB88" i="19"/>
  <c r="BB88" i="20"/>
  <c r="I247" i="38"/>
  <c r="F247" i="38"/>
  <c r="I246" i="38"/>
  <c r="F246" i="38"/>
  <c r="I245" i="38"/>
  <c r="F245" i="38"/>
  <c r="I244" i="38"/>
  <c r="F244" i="38"/>
  <c r="J236" i="38"/>
  <c r="I224" i="38"/>
  <c r="F224" i="38"/>
  <c r="I223" i="38"/>
  <c r="F223" i="38"/>
  <c r="I222" i="38"/>
  <c r="F222" i="38"/>
  <c r="I221" i="38"/>
  <c r="F221" i="38"/>
  <c r="F197" i="38"/>
  <c r="F190" i="38"/>
  <c r="F191" i="38" s="1"/>
  <c r="G165" i="38"/>
  <c r="G164" i="38"/>
  <c r="G163" i="38"/>
  <c r="F138" i="38"/>
  <c r="G137" i="38"/>
  <c r="G136" i="38"/>
  <c r="G114" i="38"/>
  <c r="G113" i="38"/>
  <c r="G112" i="38"/>
  <c r="G89" i="38"/>
  <c r="G68" i="38"/>
  <c r="C42" i="38"/>
  <c r="C41" i="38"/>
  <c r="C39" i="38"/>
  <c r="C38" i="38"/>
  <c r="C36" i="38"/>
  <c r="C35" i="38"/>
  <c r="F29" i="38"/>
  <c r="G29" i="38"/>
  <c r="H29" i="38"/>
  <c r="E29" i="38"/>
  <c r="D29" i="38"/>
  <c r="F21" i="38"/>
  <c r="F23" i="38" s="1"/>
  <c r="G21" i="38"/>
  <c r="G23" i="38" s="1"/>
  <c r="H21" i="38"/>
  <c r="H23" i="38" s="1"/>
  <c r="E21" i="38"/>
  <c r="E23" i="38" s="1"/>
  <c r="E24" i="38" s="1"/>
  <c r="E27" i="38" s="1"/>
  <c r="D21" i="38"/>
  <c r="D23" i="38" s="1"/>
  <c r="C9" i="38"/>
  <c r="B8" i="38"/>
  <c r="G7" i="38"/>
  <c r="AH40" i="20"/>
  <c r="AH38" i="20"/>
  <c r="AH36" i="20"/>
  <c r="AH34" i="20"/>
  <c r="AH32" i="20"/>
  <c r="AH30" i="20"/>
  <c r="AH28" i="20"/>
  <c r="AH26" i="20"/>
  <c r="AH24" i="20"/>
  <c r="AH22" i="20"/>
  <c r="AH20" i="20"/>
  <c r="AH18" i="20"/>
  <c r="AH16" i="20"/>
  <c r="AH14" i="20"/>
  <c r="AH12" i="20"/>
  <c r="B41" i="20"/>
  <c r="B39" i="20"/>
  <c r="B37" i="20"/>
  <c r="B35" i="20"/>
  <c r="B33" i="20"/>
  <c r="B31" i="20"/>
  <c r="B29" i="20"/>
  <c r="B27" i="20"/>
  <c r="B25" i="20"/>
  <c r="B23" i="20"/>
  <c r="B21" i="20"/>
  <c r="B19" i="20"/>
  <c r="B17" i="20"/>
  <c r="B15" i="20"/>
  <c r="B13" i="20"/>
  <c r="AQ57" i="19"/>
  <c r="AQ20" i="19"/>
  <c r="AQ21" i="20"/>
  <c r="AQ22" i="20"/>
  <c r="AQ23" i="20"/>
  <c r="AQ24" i="20"/>
  <c r="AQ25" i="20"/>
  <c r="AQ26" i="20"/>
  <c r="AQ27" i="20"/>
  <c r="AQ28" i="20"/>
  <c r="AQ29" i="20"/>
  <c r="AQ30" i="20"/>
  <c r="AQ31" i="20"/>
  <c r="AQ32" i="20"/>
  <c r="AQ33" i="20"/>
  <c r="AQ34" i="20"/>
  <c r="AQ35" i="20"/>
  <c r="AQ36" i="20"/>
  <c r="AQ37" i="20"/>
  <c r="AQ38" i="20"/>
  <c r="AQ39" i="20"/>
  <c r="AQ40" i="20"/>
  <c r="AQ41" i="20"/>
  <c r="AQ42" i="20"/>
  <c r="AQ43" i="20"/>
  <c r="AQ44" i="20"/>
  <c r="AQ45" i="20"/>
  <c r="AQ46" i="20"/>
  <c r="AQ47" i="20"/>
  <c r="AQ48" i="20"/>
  <c r="AQ49" i="20"/>
  <c r="AQ50" i="20"/>
  <c r="AQ51" i="20"/>
  <c r="AQ52" i="20"/>
  <c r="AQ53" i="20"/>
  <c r="AQ54" i="20"/>
  <c r="AQ55" i="20"/>
  <c r="AQ56" i="20"/>
  <c r="AQ57" i="20"/>
  <c r="AQ58" i="20"/>
  <c r="AQ59" i="20"/>
  <c r="AQ60" i="20"/>
  <c r="AQ61" i="20"/>
  <c r="AQ62" i="20"/>
  <c r="AQ63" i="20"/>
  <c r="AQ64" i="20"/>
  <c r="AQ65" i="20"/>
  <c r="AQ66" i="20"/>
  <c r="AQ67" i="20"/>
  <c r="AQ68" i="20"/>
  <c r="AQ69" i="20"/>
  <c r="AQ70" i="20"/>
  <c r="AQ71" i="20"/>
  <c r="AQ72" i="20"/>
  <c r="AQ73" i="20"/>
  <c r="AQ74" i="20"/>
  <c r="AQ75" i="20"/>
  <c r="AQ76" i="20"/>
  <c r="AQ77" i="20"/>
  <c r="AQ78" i="20"/>
  <c r="AQ79" i="20"/>
  <c r="AQ80" i="20"/>
  <c r="AQ81" i="20"/>
  <c r="AQ82" i="20"/>
  <c r="AQ83" i="20"/>
  <c r="AQ84" i="20"/>
  <c r="AQ85" i="20"/>
  <c r="AQ86" i="20"/>
  <c r="AQ87" i="20"/>
  <c r="AQ88" i="20"/>
  <c r="AQ89" i="20"/>
  <c r="AQ90" i="20"/>
  <c r="AQ91" i="20"/>
  <c r="AQ92" i="20"/>
  <c r="AQ93" i="20"/>
  <c r="AQ94" i="20"/>
  <c r="AQ95" i="20"/>
  <c r="AQ96" i="20"/>
  <c r="AQ97" i="20"/>
  <c r="AQ98" i="20"/>
  <c r="AQ99" i="20"/>
  <c r="AQ100" i="20"/>
  <c r="AQ101" i="20"/>
  <c r="AQ102" i="20"/>
  <c r="AQ103" i="20"/>
  <c r="AQ104" i="20"/>
  <c r="AQ105" i="20"/>
  <c r="AQ106" i="20"/>
  <c r="AQ107" i="20"/>
  <c r="AQ108" i="20"/>
  <c r="AQ109" i="20"/>
  <c r="AQ110" i="20"/>
  <c r="AQ111" i="20"/>
  <c r="AQ112" i="20"/>
  <c r="AQ113" i="20"/>
  <c r="AQ114" i="20"/>
  <c r="AQ115" i="20"/>
  <c r="AQ116" i="20"/>
  <c r="AQ117" i="20"/>
  <c r="AQ118" i="20"/>
  <c r="AQ119" i="20"/>
  <c r="AQ20" i="20"/>
  <c r="AQ21" i="19"/>
  <c r="AQ22" i="19"/>
  <c r="AQ23" i="19"/>
  <c r="AQ24" i="19"/>
  <c r="AQ25" i="19"/>
  <c r="AQ26" i="19"/>
  <c r="AQ27" i="19"/>
  <c r="AQ28" i="19"/>
  <c r="AQ29" i="19"/>
  <c r="AQ30" i="19"/>
  <c r="AQ31" i="19"/>
  <c r="AQ32" i="19"/>
  <c r="AQ33" i="19"/>
  <c r="AQ34" i="19"/>
  <c r="AQ35" i="19"/>
  <c r="AQ36" i="19"/>
  <c r="AQ37" i="19"/>
  <c r="AQ38" i="19"/>
  <c r="AQ39" i="19"/>
  <c r="AQ40" i="19"/>
  <c r="AQ41" i="19"/>
  <c r="AQ42" i="19"/>
  <c r="AQ43" i="19"/>
  <c r="AQ44" i="19"/>
  <c r="AQ45" i="19"/>
  <c r="AQ46" i="19"/>
  <c r="AQ47" i="19"/>
  <c r="AQ48" i="19"/>
  <c r="AQ49" i="19"/>
  <c r="AQ50" i="19"/>
  <c r="AQ51" i="19"/>
  <c r="AQ52" i="19"/>
  <c r="AQ53" i="19"/>
  <c r="AQ54" i="19"/>
  <c r="AQ55" i="19"/>
  <c r="AQ56" i="19"/>
  <c r="AQ58" i="19"/>
  <c r="AQ59" i="19"/>
  <c r="AQ60" i="19"/>
  <c r="AQ61" i="19"/>
  <c r="AQ62" i="19"/>
  <c r="AQ63" i="19"/>
  <c r="AQ64" i="19"/>
  <c r="AQ65" i="19"/>
  <c r="AQ66" i="19"/>
  <c r="AQ67" i="19"/>
  <c r="AQ68" i="19"/>
  <c r="AQ69" i="19"/>
  <c r="AQ70" i="19"/>
  <c r="AQ71" i="19"/>
  <c r="AQ72" i="19"/>
  <c r="AQ73" i="19"/>
  <c r="AQ74" i="19"/>
  <c r="AQ75" i="19"/>
  <c r="AQ76" i="19"/>
  <c r="AQ77" i="19"/>
  <c r="AQ78" i="19"/>
  <c r="AQ79" i="19"/>
  <c r="AQ80" i="19"/>
  <c r="AQ81" i="19"/>
  <c r="AQ82" i="19"/>
  <c r="AQ83" i="19"/>
  <c r="AQ84" i="19"/>
  <c r="AQ85" i="19"/>
  <c r="AQ86" i="19"/>
  <c r="AQ87" i="19"/>
  <c r="AQ88" i="19"/>
  <c r="AQ89" i="19"/>
  <c r="AQ90" i="19"/>
  <c r="AQ91" i="19"/>
  <c r="AQ92" i="19"/>
  <c r="AQ93" i="19"/>
  <c r="AQ94" i="19"/>
  <c r="AQ95" i="19"/>
  <c r="AQ96" i="19"/>
  <c r="AQ97" i="19"/>
  <c r="AQ98" i="19"/>
  <c r="AQ99" i="19"/>
  <c r="AQ100" i="19"/>
  <c r="AQ101" i="19"/>
  <c r="AQ102" i="19"/>
  <c r="AQ103" i="19"/>
  <c r="AQ104" i="19"/>
  <c r="AQ105" i="19"/>
  <c r="AQ106" i="19"/>
  <c r="AQ107" i="19"/>
  <c r="AQ108" i="19"/>
  <c r="AQ109" i="19"/>
  <c r="AQ110" i="19"/>
  <c r="AQ111" i="19"/>
  <c r="AQ112" i="19"/>
  <c r="AQ113" i="19"/>
  <c r="AQ114" i="19"/>
  <c r="AQ115" i="19"/>
  <c r="AQ116" i="19"/>
  <c r="AQ117" i="19"/>
  <c r="AQ118" i="19"/>
  <c r="AQ119" i="19"/>
  <c r="AO18"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O47" i="36"/>
  <c r="AO48" i="36"/>
  <c r="AO49" i="36"/>
  <c r="AO50" i="36"/>
  <c r="AO51" i="36"/>
  <c r="AO52" i="36"/>
  <c r="AO53" i="36"/>
  <c r="AO54" i="36"/>
  <c r="AO55" i="36"/>
  <c r="AO56" i="36"/>
  <c r="AO57" i="36"/>
  <c r="AO58" i="36"/>
  <c r="AO59" i="36"/>
  <c r="AO60" i="36"/>
  <c r="AO61" i="36"/>
  <c r="AO62" i="36"/>
  <c r="AO63" i="36"/>
  <c r="AO64" i="36"/>
  <c r="AO65" i="36"/>
  <c r="AO66" i="36"/>
  <c r="AO67" i="36"/>
  <c r="AO68" i="36"/>
  <c r="AO69" i="36"/>
  <c r="AO70" i="36"/>
  <c r="AO71" i="36"/>
  <c r="AO72" i="36"/>
  <c r="AO73" i="36"/>
  <c r="AO74" i="36"/>
  <c r="AO75" i="36"/>
  <c r="AO76" i="36"/>
  <c r="AO77" i="36"/>
  <c r="AO78" i="36"/>
  <c r="AO79" i="36"/>
  <c r="AO80" i="36"/>
  <c r="AO81" i="36"/>
  <c r="AO82" i="36"/>
  <c r="AO83" i="36"/>
  <c r="AO84" i="36"/>
  <c r="AO85" i="36"/>
  <c r="AO86" i="36"/>
  <c r="AO87" i="36"/>
  <c r="AO88" i="36"/>
  <c r="AO89" i="36"/>
  <c r="AO90" i="36"/>
  <c r="AO91" i="36"/>
  <c r="AO92" i="36"/>
  <c r="AO93" i="36"/>
  <c r="AO94" i="36"/>
  <c r="AO95" i="36"/>
  <c r="AO96" i="36"/>
  <c r="AO97" i="36"/>
  <c r="AO98" i="36"/>
  <c r="AO99" i="36"/>
  <c r="AO100" i="36"/>
  <c r="AO101" i="36"/>
  <c r="AO102" i="36"/>
  <c r="AO103" i="36"/>
  <c r="AO104" i="36"/>
  <c r="AO105" i="36"/>
  <c r="AO106" i="36"/>
  <c r="AO107" i="36"/>
  <c r="AO108" i="36"/>
  <c r="AO109" i="36"/>
  <c r="AO110" i="36"/>
  <c r="AO111" i="36"/>
  <c r="AO112" i="36"/>
  <c r="AO113" i="36"/>
  <c r="AO114" i="36"/>
  <c r="AO115" i="36"/>
  <c r="AO116" i="36"/>
  <c r="AO17" i="36"/>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O112" i="12"/>
  <c r="AO113" i="12"/>
  <c r="AO114" i="12"/>
  <c r="AO115" i="12"/>
  <c r="AO116" i="12"/>
  <c r="AO17" i="12"/>
  <c r="AO16" i="35"/>
  <c r="AO17" i="35"/>
  <c r="AO18" i="35"/>
  <c r="AO19" i="35"/>
  <c r="AO20" i="35"/>
  <c r="AO21" i="35"/>
  <c r="AO22" i="35"/>
  <c r="AO23" i="35"/>
  <c r="AO24" i="35"/>
  <c r="AO25" i="35"/>
  <c r="AO26" i="35"/>
  <c r="AO27" i="35"/>
  <c r="AO28" i="35"/>
  <c r="AO29" i="35"/>
  <c r="AO30" i="35"/>
  <c r="AO31" i="35"/>
  <c r="AO32" i="35"/>
  <c r="AO33" i="35"/>
  <c r="AO34" i="35"/>
  <c r="AO35" i="35"/>
  <c r="AO36" i="35"/>
  <c r="AO37" i="35"/>
  <c r="AO38" i="35"/>
  <c r="AO39" i="35"/>
  <c r="AO40" i="35"/>
  <c r="AO41" i="35"/>
  <c r="AO42" i="35"/>
  <c r="AO43" i="35"/>
  <c r="AO44" i="35"/>
  <c r="AO45" i="35"/>
  <c r="AO46" i="35"/>
  <c r="AO47" i="35"/>
  <c r="AO48" i="35"/>
  <c r="AO49" i="35"/>
  <c r="AO50" i="35"/>
  <c r="AO51" i="35"/>
  <c r="AO52" i="35"/>
  <c r="AO53" i="35"/>
  <c r="AO54" i="35"/>
  <c r="AO55" i="35"/>
  <c r="AO56" i="35"/>
  <c r="AO57" i="35"/>
  <c r="AO58" i="35"/>
  <c r="AO59" i="35"/>
  <c r="AO60" i="35"/>
  <c r="AO61" i="35"/>
  <c r="AO62" i="35"/>
  <c r="AO63" i="35"/>
  <c r="AO64" i="35"/>
  <c r="AO65" i="35"/>
  <c r="AO66" i="35"/>
  <c r="AO67" i="35"/>
  <c r="AO68" i="35"/>
  <c r="AO69" i="35"/>
  <c r="AO70" i="35"/>
  <c r="AO71" i="35"/>
  <c r="AO72" i="35"/>
  <c r="AO73" i="35"/>
  <c r="AO74" i="35"/>
  <c r="AO75" i="35"/>
  <c r="AO76" i="35"/>
  <c r="AO77" i="35"/>
  <c r="AO78" i="35"/>
  <c r="AO79" i="35"/>
  <c r="AO80" i="35"/>
  <c r="AO81" i="35"/>
  <c r="AO82" i="35"/>
  <c r="AO83" i="35"/>
  <c r="AO84" i="35"/>
  <c r="AO85" i="35"/>
  <c r="AO86" i="35"/>
  <c r="AO87" i="35"/>
  <c r="AO88" i="35"/>
  <c r="AO89" i="35"/>
  <c r="AO90" i="35"/>
  <c r="AO91" i="35"/>
  <c r="AO92" i="35"/>
  <c r="AO93" i="35"/>
  <c r="AO94" i="35"/>
  <c r="AO95" i="35"/>
  <c r="AO96" i="35"/>
  <c r="AO97" i="35"/>
  <c r="AO98" i="35"/>
  <c r="AO99" i="35"/>
  <c r="AO100" i="35"/>
  <c r="AO101" i="35"/>
  <c r="AO102" i="35"/>
  <c r="AO103" i="35"/>
  <c r="AO104" i="35"/>
  <c r="AO105" i="35"/>
  <c r="AO106" i="35"/>
  <c r="AO107" i="35"/>
  <c r="AO108" i="35"/>
  <c r="AO109" i="35"/>
  <c r="AO110" i="35"/>
  <c r="AO111" i="35"/>
  <c r="AO112" i="35"/>
  <c r="AO113" i="35"/>
  <c r="AO114" i="35"/>
  <c r="AO15" i="35"/>
  <c r="AO16" i="8"/>
  <c r="AO17" i="8"/>
  <c r="AO18" i="8"/>
  <c r="AO19" i="8"/>
  <c r="AO20" i="8"/>
  <c r="AO21" i="8"/>
  <c r="AO22" i="8"/>
  <c r="AO23" i="8"/>
  <c r="AO24" i="8"/>
  <c r="AO25" i="8"/>
  <c r="AO26" i="8"/>
  <c r="AO27" i="8"/>
  <c r="AO28" i="8"/>
  <c r="AO29" i="8"/>
  <c r="AO30" i="8"/>
  <c r="AO31" i="8"/>
  <c r="AO32" i="8"/>
  <c r="AO33" i="8"/>
  <c r="AO34" i="8"/>
  <c r="AO35" i="8"/>
  <c r="AO36" i="8"/>
  <c r="AO37" i="8"/>
  <c r="AO38" i="8"/>
  <c r="AO39" i="8"/>
  <c r="AO40" i="8"/>
  <c r="AO41" i="8"/>
  <c r="AO42" i="8"/>
  <c r="AO43" i="8"/>
  <c r="AO44" i="8"/>
  <c r="AO45" i="8"/>
  <c r="AO46" i="8"/>
  <c r="AO47" i="8"/>
  <c r="AO48" i="8"/>
  <c r="AO49" i="8"/>
  <c r="AO50" i="8"/>
  <c r="AO51" i="8"/>
  <c r="AO52" i="8"/>
  <c r="AO53" i="8"/>
  <c r="AO54" i="8"/>
  <c r="AO55" i="8"/>
  <c r="AO56" i="8"/>
  <c r="AO57" i="8"/>
  <c r="AO58" i="8"/>
  <c r="AO59" i="8"/>
  <c r="AO60" i="8"/>
  <c r="AO61" i="8"/>
  <c r="AO62" i="8"/>
  <c r="AO63" i="8"/>
  <c r="AO64" i="8"/>
  <c r="AO65" i="8"/>
  <c r="AO66" i="8"/>
  <c r="AO67" i="8"/>
  <c r="AO68" i="8"/>
  <c r="AO69" i="8"/>
  <c r="AO70" i="8"/>
  <c r="AO71" i="8"/>
  <c r="AO72" i="8"/>
  <c r="AO73" i="8"/>
  <c r="AO74" i="8"/>
  <c r="AO75" i="8"/>
  <c r="AO76" i="8"/>
  <c r="AO77" i="8"/>
  <c r="AO78" i="8"/>
  <c r="AO79" i="8"/>
  <c r="AO80" i="8"/>
  <c r="AO81" i="8"/>
  <c r="AO82" i="8"/>
  <c r="AO83" i="8"/>
  <c r="AO84" i="8"/>
  <c r="AO85" i="8"/>
  <c r="AO86" i="8"/>
  <c r="AO87" i="8"/>
  <c r="AO88" i="8"/>
  <c r="AO89" i="8"/>
  <c r="AO90" i="8"/>
  <c r="AO91" i="8"/>
  <c r="AO92" i="8"/>
  <c r="AO93" i="8"/>
  <c r="AO94" i="8"/>
  <c r="AO95" i="8"/>
  <c r="AO96" i="8"/>
  <c r="AO97" i="8"/>
  <c r="AO98" i="8"/>
  <c r="AO99" i="8"/>
  <c r="AO100" i="8"/>
  <c r="AO101" i="8"/>
  <c r="AO102" i="8"/>
  <c r="AO103" i="8"/>
  <c r="AO104" i="8"/>
  <c r="AO105" i="8"/>
  <c r="AO106" i="8"/>
  <c r="AO107" i="8"/>
  <c r="AO108" i="8"/>
  <c r="AO109" i="8"/>
  <c r="AO110" i="8"/>
  <c r="AO111" i="8"/>
  <c r="AO112" i="8"/>
  <c r="AO113" i="8"/>
  <c r="AO114" i="8"/>
  <c r="AO15" i="8"/>
  <c r="B79" i="36"/>
  <c r="B74" i="36"/>
  <c r="B73" i="36"/>
  <c r="AY71" i="36"/>
  <c r="AY68" i="36"/>
  <c r="B68" i="36"/>
  <c r="B67" i="36"/>
  <c r="AY65" i="36"/>
  <c r="AY63" i="36"/>
  <c r="B62" i="36"/>
  <c r="C62" i="36" s="1"/>
  <c r="B61" i="36"/>
  <c r="AY60" i="36"/>
  <c r="AY57" i="36"/>
  <c r="B56" i="36"/>
  <c r="B57" i="36" s="1"/>
  <c r="B55" i="36"/>
  <c r="AY53" i="36"/>
  <c r="AY51" i="36"/>
  <c r="B50" i="36"/>
  <c r="C50" i="36" s="1"/>
  <c r="C52" i="36" s="1"/>
  <c r="B49" i="36"/>
  <c r="AY47" i="36"/>
  <c r="AY45" i="36"/>
  <c r="B44" i="36"/>
  <c r="B45" i="36" s="1"/>
  <c r="AY43" i="36"/>
  <c r="B43" i="36"/>
  <c r="AY41" i="36"/>
  <c r="AY39" i="36"/>
  <c r="B38" i="36"/>
  <c r="B39" i="36" s="1"/>
  <c r="AY37" i="36"/>
  <c r="B37" i="36"/>
  <c r="AY33" i="36"/>
  <c r="B32" i="36"/>
  <c r="C32" i="36" s="1"/>
  <c r="AY31" i="36"/>
  <c r="B31" i="36"/>
  <c r="AY29" i="36"/>
  <c r="AY27" i="36"/>
  <c r="B26" i="36"/>
  <c r="C26" i="36" s="1"/>
  <c r="AY25" i="36"/>
  <c r="B25" i="36"/>
  <c r="AY23" i="36"/>
  <c r="AY21" i="36"/>
  <c r="B20" i="36"/>
  <c r="B21" i="36" s="1"/>
  <c r="AY19" i="36"/>
  <c r="B19" i="36"/>
  <c r="AY17" i="36"/>
  <c r="AY15" i="36"/>
  <c r="B14" i="36"/>
  <c r="B15" i="36" s="1"/>
  <c r="AY13" i="36"/>
  <c r="B13" i="36"/>
  <c r="AY11" i="36"/>
  <c r="AY9" i="36"/>
  <c r="B8" i="36"/>
  <c r="B9" i="36" s="1"/>
  <c r="BF2" i="36"/>
  <c r="B8" i="35"/>
  <c r="B9" i="35" s="1"/>
  <c r="B63" i="35"/>
  <c r="B58" i="35"/>
  <c r="B53" i="35"/>
  <c r="B48" i="35"/>
  <c r="B49" i="35" s="1"/>
  <c r="B43" i="35"/>
  <c r="B44" i="35" s="1"/>
  <c r="B38" i="35"/>
  <c r="B39" i="35" s="1"/>
  <c r="B33" i="35"/>
  <c r="B34" i="35" s="1"/>
  <c r="B28" i="35"/>
  <c r="B23" i="35"/>
  <c r="C23" i="35" s="1"/>
  <c r="B18" i="35"/>
  <c r="B19" i="35" s="1"/>
  <c r="B13" i="35"/>
  <c r="C13" i="35" s="1"/>
  <c r="C17" i="35" s="1" a="1"/>
  <c r="C17" i="35" s="1"/>
  <c r="C8" i="35"/>
  <c r="C10" i="35" s="1"/>
  <c r="AY71" i="12"/>
  <c r="AY68" i="12"/>
  <c r="AY65" i="12"/>
  <c r="AY63" i="12"/>
  <c r="AY60" i="12"/>
  <c r="AY57" i="12"/>
  <c r="AY53" i="12"/>
  <c r="AY51" i="12"/>
  <c r="AY47" i="12"/>
  <c r="AY45" i="12"/>
  <c r="AY43" i="12"/>
  <c r="AY41" i="12"/>
  <c r="AY39" i="12"/>
  <c r="AY37" i="12"/>
  <c r="AY33" i="12"/>
  <c r="AY31" i="12"/>
  <c r="AY29" i="12"/>
  <c r="AY27" i="12"/>
  <c r="AY25" i="12"/>
  <c r="AY23" i="12"/>
  <c r="AY21" i="12"/>
  <c r="AY19" i="12"/>
  <c r="AY17" i="12"/>
  <c r="AY15" i="12"/>
  <c r="AY13" i="12"/>
  <c r="AY11" i="12"/>
  <c r="AY9" i="12"/>
  <c r="BF2" i="12"/>
  <c r="AZ71" i="19"/>
  <c r="AZ68" i="19"/>
  <c r="AZ65" i="19"/>
  <c r="AZ63" i="19"/>
  <c r="AZ60" i="19"/>
  <c r="AZ53" i="19"/>
  <c r="AZ51" i="19"/>
  <c r="AZ47" i="19"/>
  <c r="AZ45" i="19"/>
  <c r="AZ43" i="19"/>
  <c r="AZ41" i="19"/>
  <c r="AZ39" i="19"/>
  <c r="AZ37" i="19"/>
  <c r="AZ33" i="19"/>
  <c r="AZ31" i="19"/>
  <c r="AZ29" i="19"/>
  <c r="AZ27" i="19"/>
  <c r="AZ25" i="19"/>
  <c r="AZ23" i="19"/>
  <c r="AZ21" i="19"/>
  <c r="AZ19" i="19"/>
  <c r="AZ17" i="19"/>
  <c r="AZ15" i="19"/>
  <c r="AZ13" i="19"/>
  <c r="AZ11" i="19"/>
  <c r="AZ9" i="19"/>
  <c r="BG2" i="19"/>
  <c r="AZ71" i="20"/>
  <c r="AZ68" i="20"/>
  <c r="AZ65" i="20"/>
  <c r="AZ63" i="20"/>
  <c r="AZ60" i="20"/>
  <c r="AZ57" i="20"/>
  <c r="AZ53" i="20"/>
  <c r="AZ51" i="20"/>
  <c r="AZ47" i="20"/>
  <c r="AZ45" i="20"/>
  <c r="AZ43" i="20"/>
  <c r="AZ41" i="20"/>
  <c r="AZ39" i="20"/>
  <c r="AZ37" i="20"/>
  <c r="AZ33" i="20"/>
  <c r="AZ31" i="20"/>
  <c r="AZ29" i="20"/>
  <c r="AZ27" i="20"/>
  <c r="AZ25" i="20"/>
  <c r="AZ23" i="20"/>
  <c r="AZ21" i="20"/>
  <c r="AZ19" i="20"/>
  <c r="AZ17" i="20"/>
  <c r="AZ15" i="20"/>
  <c r="AZ13" i="20"/>
  <c r="AZ11" i="20"/>
  <c r="AZ9" i="20"/>
  <c r="BG2" i="20"/>
  <c r="O110" i="33"/>
  <c r="M110" i="33"/>
  <c r="K110" i="33"/>
  <c r="I110" i="33"/>
  <c r="G110" i="33"/>
  <c r="E110" i="33"/>
  <c r="C110" i="33"/>
  <c r="P109" i="33"/>
  <c r="K109" i="33"/>
  <c r="D109" i="33"/>
  <c r="B109" i="33"/>
  <c r="P108" i="33"/>
  <c r="N108" i="33"/>
  <c r="L108" i="33"/>
  <c r="J108" i="33"/>
  <c r="H108" i="33"/>
  <c r="F108" i="33"/>
  <c r="D108" i="33"/>
  <c r="B108" i="33"/>
  <c r="P107" i="33"/>
  <c r="N107" i="33"/>
  <c r="L107" i="33"/>
  <c r="J107" i="33"/>
  <c r="H107" i="33"/>
  <c r="F107" i="33"/>
  <c r="D107" i="33"/>
  <c r="B107" i="33"/>
  <c r="P106" i="33"/>
  <c r="N106" i="33"/>
  <c r="L106" i="33"/>
  <c r="J106" i="33"/>
  <c r="H106" i="33"/>
  <c r="F106" i="33"/>
  <c r="D106" i="33"/>
  <c r="B102" i="33" s="1"/>
  <c r="B106" i="33"/>
  <c r="P105" i="33"/>
  <c r="N105" i="33"/>
  <c r="L105" i="33"/>
  <c r="J105" i="33"/>
  <c r="H105" i="33"/>
  <c r="F105" i="33"/>
  <c r="D105" i="33"/>
  <c r="B105" i="33"/>
  <c r="P104" i="33"/>
  <c r="N104" i="33"/>
  <c r="L104" i="33"/>
  <c r="J104" i="33"/>
  <c r="H104" i="33"/>
  <c r="F104" i="33"/>
  <c r="D104" i="33"/>
  <c r="B104" i="33"/>
  <c r="O101" i="33"/>
  <c r="M101" i="33"/>
  <c r="K101" i="33"/>
  <c r="I101" i="33"/>
  <c r="G101" i="33"/>
  <c r="E101" i="33"/>
  <c r="C101" i="33"/>
  <c r="P100" i="33"/>
  <c r="K100" i="33"/>
  <c r="D100" i="33"/>
  <c r="B100" i="33"/>
  <c r="P99" i="33"/>
  <c r="N99" i="33"/>
  <c r="L99" i="33"/>
  <c r="J99" i="33"/>
  <c r="H99" i="33"/>
  <c r="F99" i="33"/>
  <c r="D99" i="33"/>
  <c r="B99" i="33"/>
  <c r="P98" i="33"/>
  <c r="N98" i="33"/>
  <c r="L98" i="33"/>
  <c r="J98" i="33"/>
  <c r="H98" i="33"/>
  <c r="F98" i="33"/>
  <c r="D98" i="33"/>
  <c r="B98" i="33"/>
  <c r="P97" i="33"/>
  <c r="N97" i="33"/>
  <c r="L97" i="33"/>
  <c r="J97" i="33"/>
  <c r="H97" i="33"/>
  <c r="F97" i="33"/>
  <c r="D97" i="33"/>
  <c r="B93" i="33" s="1"/>
  <c r="B97" i="33"/>
  <c r="P96" i="33"/>
  <c r="N96" i="33"/>
  <c r="L96" i="33"/>
  <c r="J96" i="33"/>
  <c r="H96" i="33"/>
  <c r="F96" i="33"/>
  <c r="D96" i="33"/>
  <c r="B96" i="33"/>
  <c r="P95" i="33"/>
  <c r="N95" i="33"/>
  <c r="L95" i="33"/>
  <c r="J95" i="33"/>
  <c r="H95" i="33"/>
  <c r="F95" i="33"/>
  <c r="D95" i="33"/>
  <c r="B95" i="33"/>
  <c r="O92" i="33"/>
  <c r="M92" i="33"/>
  <c r="K92" i="33"/>
  <c r="I92" i="33"/>
  <c r="G92" i="33"/>
  <c r="E92" i="33"/>
  <c r="C92" i="33"/>
  <c r="P91" i="33"/>
  <c r="K91" i="33"/>
  <c r="D91" i="33"/>
  <c r="B91" i="33"/>
  <c r="P90" i="33"/>
  <c r="N90" i="33"/>
  <c r="L90" i="33"/>
  <c r="J90" i="33"/>
  <c r="H90" i="33"/>
  <c r="F90" i="33"/>
  <c r="D90" i="33"/>
  <c r="B90" i="33"/>
  <c r="P89" i="33"/>
  <c r="N89" i="33"/>
  <c r="L89" i="33"/>
  <c r="J89" i="33"/>
  <c r="H89" i="33"/>
  <c r="F89" i="33"/>
  <c r="D89" i="33"/>
  <c r="B89" i="33"/>
  <c r="P88" i="33"/>
  <c r="N88" i="33"/>
  <c r="L88" i="33"/>
  <c r="J88" i="33"/>
  <c r="H88" i="33"/>
  <c r="F88" i="33"/>
  <c r="D88" i="33"/>
  <c r="B84" i="33" s="1"/>
  <c r="B88" i="33"/>
  <c r="P87" i="33"/>
  <c r="N87" i="33"/>
  <c r="L87" i="33"/>
  <c r="J87" i="33"/>
  <c r="H87" i="33"/>
  <c r="F87" i="33"/>
  <c r="D87" i="33"/>
  <c r="B87" i="33"/>
  <c r="P86" i="33"/>
  <c r="N86" i="33"/>
  <c r="L86" i="33"/>
  <c r="J86" i="33"/>
  <c r="H86" i="33"/>
  <c r="F86" i="33"/>
  <c r="D86" i="33"/>
  <c r="B86" i="33"/>
  <c r="O83" i="33"/>
  <c r="M83" i="33"/>
  <c r="K83" i="33"/>
  <c r="I83" i="33"/>
  <c r="G83" i="33"/>
  <c r="E83" i="33"/>
  <c r="C83" i="33"/>
  <c r="P82" i="33"/>
  <c r="K82" i="33"/>
  <c r="D82" i="33"/>
  <c r="B82" i="33"/>
  <c r="P81" i="33"/>
  <c r="N81" i="33"/>
  <c r="L81" i="33"/>
  <c r="J81" i="33"/>
  <c r="H81" i="33"/>
  <c r="F81" i="33"/>
  <c r="D81" i="33"/>
  <c r="B81" i="33"/>
  <c r="P80" i="33"/>
  <c r="N80" i="33"/>
  <c r="L80" i="33"/>
  <c r="J80" i="33"/>
  <c r="H80" i="33"/>
  <c r="F80" i="33"/>
  <c r="D80" i="33"/>
  <c r="B80" i="33"/>
  <c r="P79" i="33"/>
  <c r="N79" i="33"/>
  <c r="L79" i="33"/>
  <c r="J79" i="33"/>
  <c r="H79" i="33"/>
  <c r="F79" i="33"/>
  <c r="D79" i="33"/>
  <c r="B75" i="33" s="1"/>
  <c r="B79" i="33"/>
  <c r="P78" i="33"/>
  <c r="N78" i="33"/>
  <c r="L78" i="33"/>
  <c r="J78" i="33"/>
  <c r="H78" i="33"/>
  <c r="F78" i="33"/>
  <c r="D78" i="33"/>
  <c r="B78" i="33"/>
  <c r="P77" i="33"/>
  <c r="N77" i="33"/>
  <c r="L77" i="33"/>
  <c r="J77" i="33"/>
  <c r="H77" i="33"/>
  <c r="F77" i="33"/>
  <c r="D77" i="33"/>
  <c r="B77" i="33"/>
  <c r="O74" i="33"/>
  <c r="M74" i="33"/>
  <c r="K74" i="33"/>
  <c r="I74" i="33"/>
  <c r="G74" i="33"/>
  <c r="E74" i="33"/>
  <c r="C74" i="33"/>
  <c r="P73" i="33"/>
  <c r="K73" i="33"/>
  <c r="D73" i="33"/>
  <c r="B73" i="33"/>
  <c r="P72" i="33"/>
  <c r="N72" i="33"/>
  <c r="L72" i="33"/>
  <c r="J72" i="33"/>
  <c r="H72" i="33"/>
  <c r="F72" i="33"/>
  <c r="D72" i="33"/>
  <c r="B72" i="33"/>
  <c r="P71" i="33"/>
  <c r="N71" i="33"/>
  <c r="L71" i="33"/>
  <c r="J71" i="33"/>
  <c r="H71" i="33"/>
  <c r="F71" i="33"/>
  <c r="D71" i="33"/>
  <c r="B71" i="33"/>
  <c r="P70" i="33"/>
  <c r="N70" i="33"/>
  <c r="L70" i="33"/>
  <c r="J70" i="33"/>
  <c r="H70" i="33"/>
  <c r="F70" i="33"/>
  <c r="D70" i="33"/>
  <c r="B66" i="33" s="1"/>
  <c r="B70" i="33"/>
  <c r="P69" i="33"/>
  <c r="N69" i="33"/>
  <c r="L69" i="33"/>
  <c r="J69" i="33"/>
  <c r="H69" i="33"/>
  <c r="F69" i="33"/>
  <c r="D69" i="33"/>
  <c r="B69" i="33"/>
  <c r="P68" i="33"/>
  <c r="N68" i="33"/>
  <c r="L68" i="33"/>
  <c r="J68" i="33"/>
  <c r="H68" i="33"/>
  <c r="F68" i="33"/>
  <c r="D68" i="33"/>
  <c r="B68" i="33"/>
  <c r="O65" i="33"/>
  <c r="M65" i="33"/>
  <c r="K65" i="33"/>
  <c r="I65" i="33"/>
  <c r="G65" i="33"/>
  <c r="E65" i="33"/>
  <c r="C65" i="33"/>
  <c r="P64" i="33"/>
  <c r="K64" i="33"/>
  <c r="D64" i="33"/>
  <c r="B64" i="33"/>
  <c r="P63" i="33"/>
  <c r="N63" i="33"/>
  <c r="L63" i="33"/>
  <c r="J63" i="33"/>
  <c r="H63" i="33"/>
  <c r="F63" i="33"/>
  <c r="D63" i="33"/>
  <c r="B63" i="33"/>
  <c r="P62" i="33"/>
  <c r="N62" i="33"/>
  <c r="L62" i="33"/>
  <c r="J62" i="33"/>
  <c r="H62" i="33"/>
  <c r="F62" i="33"/>
  <c r="D62" i="33"/>
  <c r="B62" i="33"/>
  <c r="P61" i="33"/>
  <c r="N61" i="33"/>
  <c r="L61" i="33"/>
  <c r="J61" i="33"/>
  <c r="H61" i="33"/>
  <c r="F61" i="33"/>
  <c r="D61" i="33"/>
  <c r="B57" i="33" s="1"/>
  <c r="B61" i="33"/>
  <c r="P60" i="33"/>
  <c r="N60" i="33"/>
  <c r="L60" i="33"/>
  <c r="J60" i="33"/>
  <c r="H60" i="33"/>
  <c r="F60" i="33"/>
  <c r="D60" i="33"/>
  <c r="B60" i="33"/>
  <c r="P59" i="33"/>
  <c r="N59" i="33"/>
  <c r="L59" i="33"/>
  <c r="J59" i="33"/>
  <c r="H59" i="33"/>
  <c r="F59" i="33"/>
  <c r="D59" i="33"/>
  <c r="B59" i="33"/>
  <c r="O56" i="33"/>
  <c r="M56" i="33"/>
  <c r="K56" i="33"/>
  <c r="I56" i="33"/>
  <c r="G56" i="33"/>
  <c r="E56" i="33"/>
  <c r="C56" i="33"/>
  <c r="P55" i="33"/>
  <c r="K55" i="33"/>
  <c r="D55" i="33"/>
  <c r="B55" i="33"/>
  <c r="P54" i="33"/>
  <c r="N54" i="33"/>
  <c r="L54" i="33"/>
  <c r="J54" i="33"/>
  <c r="H54" i="33"/>
  <c r="F54" i="33"/>
  <c r="D54" i="33"/>
  <c r="B54" i="33"/>
  <c r="P53" i="33"/>
  <c r="N53" i="33"/>
  <c r="L53" i="33"/>
  <c r="J53" i="33"/>
  <c r="H53" i="33"/>
  <c r="F53" i="33"/>
  <c r="D53" i="33"/>
  <c r="B53" i="33"/>
  <c r="P52" i="33"/>
  <c r="N52" i="33"/>
  <c r="L52" i="33"/>
  <c r="J52" i="33"/>
  <c r="H52" i="33"/>
  <c r="F52" i="33"/>
  <c r="D52" i="33"/>
  <c r="B48" i="33" s="1"/>
  <c r="B52" i="33"/>
  <c r="P51" i="33"/>
  <c r="N51" i="33"/>
  <c r="L51" i="33"/>
  <c r="J51" i="33"/>
  <c r="H51" i="33"/>
  <c r="F51" i="33"/>
  <c r="D51" i="33"/>
  <c r="B51" i="33"/>
  <c r="P50" i="33"/>
  <c r="N50" i="33"/>
  <c r="L50" i="33"/>
  <c r="J50" i="33"/>
  <c r="H50" i="33"/>
  <c r="F50" i="33"/>
  <c r="D50" i="33"/>
  <c r="B50" i="33"/>
  <c r="O47" i="33"/>
  <c r="M47" i="33"/>
  <c r="K47" i="33"/>
  <c r="I47" i="33"/>
  <c r="G47" i="33"/>
  <c r="E47" i="33"/>
  <c r="C47" i="33"/>
  <c r="P46" i="33"/>
  <c r="K46" i="33"/>
  <c r="D46" i="33"/>
  <c r="B46" i="33"/>
  <c r="P45" i="33"/>
  <c r="N45" i="33"/>
  <c r="L45" i="33"/>
  <c r="J45" i="33"/>
  <c r="H45" i="33"/>
  <c r="F45" i="33"/>
  <c r="D45" i="33"/>
  <c r="B45" i="33"/>
  <c r="P44" i="33"/>
  <c r="N44" i="33"/>
  <c r="L44" i="33"/>
  <c r="J44" i="33"/>
  <c r="H44" i="33"/>
  <c r="F44" i="33"/>
  <c r="D44" i="33"/>
  <c r="B44" i="33"/>
  <c r="P43" i="33"/>
  <c r="N43" i="33"/>
  <c r="L43" i="33"/>
  <c r="J43" i="33"/>
  <c r="H43" i="33"/>
  <c r="F43" i="33"/>
  <c r="D43" i="33"/>
  <c r="B39" i="33" s="1"/>
  <c r="B43" i="33"/>
  <c r="P42" i="33"/>
  <c r="N42" i="33"/>
  <c r="L42" i="33"/>
  <c r="J42" i="33"/>
  <c r="H42" i="33"/>
  <c r="F42" i="33"/>
  <c r="D42" i="33"/>
  <c r="B42" i="33"/>
  <c r="P41" i="33"/>
  <c r="N41" i="33"/>
  <c r="L41" i="33"/>
  <c r="J41" i="33"/>
  <c r="H41" i="33"/>
  <c r="F41" i="33"/>
  <c r="D41" i="33"/>
  <c r="B41" i="33"/>
  <c r="O38" i="33"/>
  <c r="M38" i="33"/>
  <c r="K38" i="33"/>
  <c r="I38" i="33"/>
  <c r="G38" i="33"/>
  <c r="E38" i="33"/>
  <c r="C38" i="33"/>
  <c r="P37" i="33"/>
  <c r="K37" i="33"/>
  <c r="D37" i="33"/>
  <c r="B37" i="33"/>
  <c r="P36" i="33"/>
  <c r="N36" i="33"/>
  <c r="L36" i="33"/>
  <c r="J36" i="33"/>
  <c r="H36" i="33"/>
  <c r="F36" i="33"/>
  <c r="D36" i="33"/>
  <c r="B36" i="33"/>
  <c r="P35" i="33"/>
  <c r="N35" i="33"/>
  <c r="L35" i="33"/>
  <c r="J35" i="33"/>
  <c r="H35" i="33"/>
  <c r="F35" i="33"/>
  <c r="D35" i="33"/>
  <c r="B35" i="33"/>
  <c r="P34" i="33"/>
  <c r="N34" i="33"/>
  <c r="L34" i="33"/>
  <c r="J34" i="33"/>
  <c r="H34" i="33"/>
  <c r="F34" i="33"/>
  <c r="D34" i="33"/>
  <c r="B30" i="33" s="1"/>
  <c r="B34" i="33"/>
  <c r="P33" i="33"/>
  <c r="N33" i="33"/>
  <c r="L33" i="33"/>
  <c r="J33" i="33"/>
  <c r="H33" i="33"/>
  <c r="F33" i="33"/>
  <c r="D33" i="33"/>
  <c r="B33" i="33"/>
  <c r="P32" i="33"/>
  <c r="N32" i="33"/>
  <c r="L32" i="33"/>
  <c r="J32" i="33"/>
  <c r="H32" i="33"/>
  <c r="F32" i="33"/>
  <c r="D32" i="33"/>
  <c r="B32" i="33"/>
  <c r="O29" i="33"/>
  <c r="M29" i="33"/>
  <c r="K29" i="33"/>
  <c r="I29" i="33"/>
  <c r="G29" i="33"/>
  <c r="E29" i="33"/>
  <c r="C29" i="33"/>
  <c r="P28" i="33"/>
  <c r="K28" i="33"/>
  <c r="D28" i="33"/>
  <c r="B28" i="33"/>
  <c r="P27" i="33"/>
  <c r="N27" i="33"/>
  <c r="L27" i="33"/>
  <c r="J27" i="33"/>
  <c r="H27" i="33"/>
  <c r="F27" i="33"/>
  <c r="D27" i="33"/>
  <c r="B27" i="33"/>
  <c r="P26" i="33"/>
  <c r="N26" i="33"/>
  <c r="L26" i="33"/>
  <c r="J26" i="33"/>
  <c r="H26" i="33"/>
  <c r="F26" i="33"/>
  <c r="D26" i="33"/>
  <c r="B26" i="33"/>
  <c r="P25" i="33"/>
  <c r="N25" i="33"/>
  <c r="L25" i="33"/>
  <c r="J25" i="33"/>
  <c r="H25" i="33"/>
  <c r="F25" i="33"/>
  <c r="D25" i="33"/>
  <c r="B21" i="33" s="1"/>
  <c r="B25" i="33"/>
  <c r="P24" i="33"/>
  <c r="N24" i="33"/>
  <c r="L24" i="33"/>
  <c r="J24" i="33"/>
  <c r="H24" i="33"/>
  <c r="F24" i="33"/>
  <c r="D24" i="33"/>
  <c r="B24" i="33"/>
  <c r="P23" i="33"/>
  <c r="N23" i="33"/>
  <c r="L23" i="33"/>
  <c r="J23" i="33"/>
  <c r="H23" i="33"/>
  <c r="F23" i="33"/>
  <c r="D23" i="33"/>
  <c r="O20" i="33"/>
  <c r="M20" i="33"/>
  <c r="K20" i="33"/>
  <c r="I20" i="33"/>
  <c r="G20" i="33"/>
  <c r="E20" i="33"/>
  <c r="C20" i="33"/>
  <c r="P19" i="33"/>
  <c r="K19" i="33"/>
  <c r="D19" i="33"/>
  <c r="B19" i="33"/>
  <c r="P18" i="33"/>
  <c r="N18" i="33"/>
  <c r="L18" i="33"/>
  <c r="J18" i="33"/>
  <c r="H18" i="33"/>
  <c r="F18" i="33"/>
  <c r="D18" i="33"/>
  <c r="B18" i="33"/>
  <c r="P17" i="33"/>
  <c r="N17" i="33"/>
  <c r="L17" i="33"/>
  <c r="J17" i="33"/>
  <c r="H17" i="33"/>
  <c r="F17" i="33"/>
  <c r="D17" i="33"/>
  <c r="B17" i="33"/>
  <c r="P16" i="33"/>
  <c r="N16" i="33"/>
  <c r="L16" i="33"/>
  <c r="J16" i="33"/>
  <c r="H16" i="33"/>
  <c r="F16" i="33"/>
  <c r="D16" i="33"/>
  <c r="B12" i="33" s="1"/>
  <c r="B16" i="33"/>
  <c r="P15" i="33"/>
  <c r="N15" i="33"/>
  <c r="L15" i="33"/>
  <c r="J15" i="33"/>
  <c r="H15" i="33"/>
  <c r="F15" i="33"/>
  <c r="D15" i="33"/>
  <c r="B15" i="33"/>
  <c r="P14" i="33"/>
  <c r="N14" i="33"/>
  <c r="L14" i="33"/>
  <c r="J14" i="33"/>
  <c r="H14" i="33"/>
  <c r="F14" i="33"/>
  <c r="D14" i="33"/>
  <c r="O11" i="33"/>
  <c r="M11" i="33"/>
  <c r="K11" i="33"/>
  <c r="I11" i="33"/>
  <c r="G11" i="33"/>
  <c r="E11" i="33"/>
  <c r="C11" i="33"/>
  <c r="P10" i="33"/>
  <c r="K10" i="33"/>
  <c r="D10" i="33"/>
  <c r="B10" i="33"/>
  <c r="P9" i="33"/>
  <c r="N9" i="33"/>
  <c r="L9" i="33"/>
  <c r="J9" i="33"/>
  <c r="H9" i="33"/>
  <c r="F9" i="33"/>
  <c r="D9" i="33"/>
  <c r="B9" i="33"/>
  <c r="P8" i="33"/>
  <c r="N8" i="33"/>
  <c r="L8" i="33"/>
  <c r="J8" i="33"/>
  <c r="H8" i="33"/>
  <c r="F8" i="33"/>
  <c r="D8" i="33"/>
  <c r="B8" i="33"/>
  <c r="P7" i="33"/>
  <c r="N7" i="33"/>
  <c r="L7" i="33"/>
  <c r="J7" i="33"/>
  <c r="H7" i="33"/>
  <c r="F7" i="33"/>
  <c r="D7" i="33"/>
  <c r="B3" i="33" s="1"/>
  <c r="B7" i="33"/>
  <c r="P6" i="33"/>
  <c r="N6" i="33"/>
  <c r="L6" i="33"/>
  <c r="J6" i="33"/>
  <c r="H6" i="33"/>
  <c r="F6" i="33"/>
  <c r="D6" i="33"/>
  <c r="B6" i="33"/>
  <c r="P5" i="33"/>
  <c r="N5" i="33"/>
  <c r="L5" i="33"/>
  <c r="J5" i="33"/>
  <c r="H5" i="33"/>
  <c r="F5" i="33"/>
  <c r="D5" i="33"/>
  <c r="AC91" i="32"/>
  <c r="AA91" i="32"/>
  <c r="Y91" i="32"/>
  <c r="W91" i="32"/>
  <c r="U91" i="32"/>
  <c r="S91" i="32"/>
  <c r="M91" i="32"/>
  <c r="K91" i="32"/>
  <c r="I91" i="32"/>
  <c r="G91" i="32"/>
  <c r="E91" i="32"/>
  <c r="C91" i="32"/>
  <c r="K90" i="32"/>
  <c r="I90" i="32"/>
  <c r="G90" i="32"/>
  <c r="E90" i="32"/>
  <c r="C90" i="32"/>
  <c r="B82" i="32" s="1"/>
  <c r="K89" i="32"/>
  <c r="I89" i="32"/>
  <c r="G89" i="32"/>
  <c r="E89" i="32"/>
  <c r="C89" i="32"/>
  <c r="K88" i="32"/>
  <c r="I88" i="32"/>
  <c r="G88" i="32"/>
  <c r="E88" i="32"/>
  <c r="C88" i="32"/>
  <c r="AC87" i="32"/>
  <c r="AC90" i="32" s="1"/>
  <c r="M87" i="32"/>
  <c r="M90" i="32" s="1"/>
  <c r="K87" i="32"/>
  <c r="I87" i="32"/>
  <c r="G87" i="32"/>
  <c r="E87" i="32"/>
  <c r="C87" i="32"/>
  <c r="K86" i="32"/>
  <c r="I86" i="32"/>
  <c r="G86" i="32"/>
  <c r="E86" i="32"/>
  <c r="C86" i="32"/>
  <c r="AP85" i="32"/>
  <c r="AI82" i="32" s="1"/>
  <c r="M85" i="32"/>
  <c r="K85" i="32"/>
  <c r="I85" i="32"/>
  <c r="G85" i="32"/>
  <c r="E85" i="32"/>
  <c r="C85" i="32"/>
  <c r="AO84" i="32"/>
  <c r="AN84" i="32"/>
  <c r="AM84" i="32"/>
  <c r="AL84" i="32"/>
  <c r="AK84" i="32"/>
  <c r="AJ84" i="32"/>
  <c r="AI84" i="32"/>
  <c r="M84" i="32"/>
  <c r="K84" i="32"/>
  <c r="I84" i="32"/>
  <c r="G84" i="32"/>
  <c r="E84" i="32"/>
  <c r="C84" i="32"/>
  <c r="AD83" i="32"/>
  <c r="AB83" i="32"/>
  <c r="Z83" i="32"/>
  <c r="X83" i="32"/>
  <c r="V83" i="32"/>
  <c r="T83" i="32"/>
  <c r="N83" i="32"/>
  <c r="L83" i="32"/>
  <c r="J83" i="32"/>
  <c r="H83" i="32"/>
  <c r="F83" i="32"/>
  <c r="D83" i="32"/>
  <c r="AC80" i="32"/>
  <c r="AA80" i="32"/>
  <c r="Y80" i="32"/>
  <c r="W80" i="32"/>
  <c r="U80" i="32"/>
  <c r="S80" i="32"/>
  <c r="M80" i="32"/>
  <c r="K80" i="32"/>
  <c r="I80" i="32"/>
  <c r="G80" i="32"/>
  <c r="E80" i="32"/>
  <c r="C80" i="32"/>
  <c r="AA79" i="32"/>
  <c r="Y79" i="32"/>
  <c r="W79" i="32"/>
  <c r="U79" i="32"/>
  <c r="S79" i="32"/>
  <c r="K79" i="32"/>
  <c r="I79" i="32"/>
  <c r="G79" i="32"/>
  <c r="E79" i="32"/>
  <c r="C79" i="32"/>
  <c r="AA78" i="32"/>
  <c r="Y78" i="32"/>
  <c r="W78" i="32"/>
  <c r="U78" i="32"/>
  <c r="S78" i="32"/>
  <c r="K78" i="32"/>
  <c r="I78" i="32"/>
  <c r="G78" i="32"/>
  <c r="E78" i="32"/>
  <c r="C78" i="32"/>
  <c r="AA77" i="32"/>
  <c r="Y77" i="32"/>
  <c r="W77" i="32"/>
  <c r="U77" i="32"/>
  <c r="S77" i="32"/>
  <c r="K77" i="32"/>
  <c r="I77" i="32"/>
  <c r="G77" i="32"/>
  <c r="E77" i="32"/>
  <c r="C77" i="32"/>
  <c r="AC76" i="32"/>
  <c r="AC79" i="32" s="1"/>
  <c r="AA76" i="32"/>
  <c r="Y76" i="32"/>
  <c r="W76" i="32"/>
  <c r="U76" i="32"/>
  <c r="S76" i="32"/>
  <c r="M76" i="32"/>
  <c r="M79" i="32" s="1"/>
  <c r="K76" i="32"/>
  <c r="I76" i="32"/>
  <c r="G76" i="32"/>
  <c r="E76" i="32"/>
  <c r="C76" i="32"/>
  <c r="AA75" i="32"/>
  <c r="Y75" i="32"/>
  <c r="W75" i="32"/>
  <c r="U75" i="32"/>
  <c r="S75" i="32"/>
  <c r="K75" i="32"/>
  <c r="I75" i="32"/>
  <c r="G75" i="32"/>
  <c r="E75" i="32"/>
  <c r="C75" i="32"/>
  <c r="AC74" i="32"/>
  <c r="AA74" i="32"/>
  <c r="Y74" i="32"/>
  <c r="W74" i="32"/>
  <c r="U74" i="32"/>
  <c r="S74" i="32"/>
  <c r="M74" i="32"/>
  <c r="K74" i="32"/>
  <c r="I74" i="32"/>
  <c r="G74" i="32"/>
  <c r="E74" i="32"/>
  <c r="C74" i="32"/>
  <c r="AC73" i="32"/>
  <c r="AA73" i="32"/>
  <c r="Y73" i="32"/>
  <c r="W73" i="32"/>
  <c r="U73" i="32"/>
  <c r="S73" i="32"/>
  <c r="M73" i="32"/>
  <c r="K73" i="32"/>
  <c r="I73" i="32"/>
  <c r="G73" i="32"/>
  <c r="E73" i="32"/>
  <c r="C73" i="32"/>
  <c r="AD72" i="32"/>
  <c r="AB72" i="32"/>
  <c r="Z72" i="32"/>
  <c r="X72" i="32"/>
  <c r="V72" i="32"/>
  <c r="T72" i="32"/>
  <c r="N72" i="32"/>
  <c r="L72" i="32"/>
  <c r="J72" i="32"/>
  <c r="H72" i="32"/>
  <c r="F72" i="32"/>
  <c r="D72" i="32"/>
  <c r="R71" i="32"/>
  <c r="B71" i="32"/>
  <c r="AC69" i="32"/>
  <c r="AA69" i="32"/>
  <c r="Y69" i="32"/>
  <c r="W69" i="32"/>
  <c r="U69" i="32"/>
  <c r="S69" i="32"/>
  <c r="M69" i="32"/>
  <c r="K69" i="32"/>
  <c r="I69" i="32"/>
  <c r="G69" i="32"/>
  <c r="E69" i="32"/>
  <c r="C69" i="32"/>
  <c r="AA68" i="32"/>
  <c r="Y68" i="32"/>
  <c r="W68" i="32"/>
  <c r="U68" i="32"/>
  <c r="S68" i="32"/>
  <c r="K68" i="32"/>
  <c r="I68" i="32"/>
  <c r="G68" i="32"/>
  <c r="E68" i="32"/>
  <c r="C68" i="32"/>
  <c r="B60" i="32" s="1"/>
  <c r="AA67" i="32"/>
  <c r="Y67" i="32"/>
  <c r="W67" i="32"/>
  <c r="U67" i="32"/>
  <c r="S67" i="32"/>
  <c r="K67" i="32"/>
  <c r="I67" i="32"/>
  <c r="G67" i="32"/>
  <c r="E67" i="32"/>
  <c r="C67" i="32"/>
  <c r="AA66" i="32"/>
  <c r="Y66" i="32"/>
  <c r="W66" i="32"/>
  <c r="U66" i="32"/>
  <c r="S66" i="32"/>
  <c r="K66" i="32"/>
  <c r="I66" i="32"/>
  <c r="G66" i="32"/>
  <c r="E66" i="32"/>
  <c r="C66" i="32"/>
  <c r="AC65" i="32"/>
  <c r="AC68" i="32" s="1"/>
  <c r="AA65" i="32"/>
  <c r="Y65" i="32"/>
  <c r="W65" i="32"/>
  <c r="U65" i="32"/>
  <c r="S65" i="32"/>
  <c r="M65" i="32"/>
  <c r="M68" i="32" s="1"/>
  <c r="K65" i="32"/>
  <c r="I65" i="32"/>
  <c r="G65" i="32"/>
  <c r="E65" i="32"/>
  <c r="C65" i="32"/>
  <c r="AA64" i="32"/>
  <c r="Y64" i="32"/>
  <c r="W64" i="32"/>
  <c r="U64" i="32"/>
  <c r="S64" i="32"/>
  <c r="K64" i="32"/>
  <c r="I64" i="32"/>
  <c r="G64" i="32"/>
  <c r="E64" i="32"/>
  <c r="C64" i="32"/>
  <c r="AC63" i="32"/>
  <c r="AA63" i="32"/>
  <c r="Y63" i="32"/>
  <c r="W63" i="32"/>
  <c r="U63" i="32"/>
  <c r="S63" i="32"/>
  <c r="M63" i="32"/>
  <c r="K63" i="32"/>
  <c r="I63" i="32"/>
  <c r="G63" i="32"/>
  <c r="E63" i="32"/>
  <c r="C63" i="32"/>
  <c r="AC62" i="32"/>
  <c r="AA62" i="32"/>
  <c r="Y62" i="32"/>
  <c r="W62" i="32"/>
  <c r="U62" i="32"/>
  <c r="S62" i="32"/>
  <c r="M62" i="32"/>
  <c r="K62" i="32"/>
  <c r="I62" i="32"/>
  <c r="G62" i="32"/>
  <c r="E62" i="32"/>
  <c r="C62" i="32"/>
  <c r="AD61" i="32"/>
  <c r="AB61" i="32"/>
  <c r="Z61" i="32"/>
  <c r="X61" i="32"/>
  <c r="V61" i="32"/>
  <c r="T61" i="32"/>
  <c r="N61" i="32"/>
  <c r="L61" i="32"/>
  <c r="J61" i="32"/>
  <c r="H61" i="32"/>
  <c r="F61" i="32"/>
  <c r="D61" i="32"/>
  <c r="R60" i="32"/>
  <c r="AC58" i="32"/>
  <c r="AA58" i="32"/>
  <c r="Y58" i="32"/>
  <c r="W58" i="32"/>
  <c r="U58" i="32"/>
  <c r="S58" i="32"/>
  <c r="M58" i="32"/>
  <c r="K58" i="32"/>
  <c r="I58" i="32"/>
  <c r="G58" i="32"/>
  <c r="E58" i="32"/>
  <c r="C58" i="32"/>
  <c r="AA57" i="32"/>
  <c r="Y57" i="32"/>
  <c r="W57" i="32"/>
  <c r="U57" i="32"/>
  <c r="S57" i="32"/>
  <c r="K57" i="32"/>
  <c r="I57" i="32"/>
  <c r="G57" i="32"/>
  <c r="E57" i="32"/>
  <c r="C57" i="32"/>
  <c r="AA56" i="32"/>
  <c r="Y56" i="32"/>
  <c r="W56" i="32"/>
  <c r="U56" i="32"/>
  <c r="S56" i="32"/>
  <c r="K56" i="32"/>
  <c r="I56" i="32"/>
  <c r="G56" i="32"/>
  <c r="E56" i="32"/>
  <c r="C56" i="32"/>
  <c r="AA55" i="32"/>
  <c r="Y55" i="32"/>
  <c r="W55" i="32"/>
  <c r="U55" i="32"/>
  <c r="S55" i="32"/>
  <c r="K55" i="32"/>
  <c r="I55" i="32"/>
  <c r="G55" i="32"/>
  <c r="E55" i="32"/>
  <c r="C55" i="32"/>
  <c r="AC54" i="32"/>
  <c r="AC57" i="32" s="1"/>
  <c r="AA54" i="32"/>
  <c r="Y54" i="32"/>
  <c r="W54" i="32"/>
  <c r="U54" i="32"/>
  <c r="S54" i="32"/>
  <c r="M54" i="32"/>
  <c r="M57" i="32" s="1"/>
  <c r="K54" i="32"/>
  <c r="I54" i="32"/>
  <c r="G54" i="32"/>
  <c r="E54" i="32"/>
  <c r="C54" i="32"/>
  <c r="AA53" i="32"/>
  <c r="Y53" i="32"/>
  <c r="W53" i="32"/>
  <c r="U53" i="32"/>
  <c r="S53" i="32"/>
  <c r="K53" i="32"/>
  <c r="I53" i="32"/>
  <c r="G53" i="32"/>
  <c r="E53" i="32"/>
  <c r="C53" i="32"/>
  <c r="AC52" i="32"/>
  <c r="AA52" i="32"/>
  <c r="Y52" i="32"/>
  <c r="W52" i="32"/>
  <c r="U52" i="32"/>
  <c r="S52" i="32"/>
  <c r="M52" i="32"/>
  <c r="K52" i="32"/>
  <c r="I52" i="32"/>
  <c r="G52" i="32"/>
  <c r="E52" i="32"/>
  <c r="C52" i="32"/>
  <c r="AC51" i="32"/>
  <c r="AA51" i="32"/>
  <c r="Y51" i="32"/>
  <c r="W51" i="32"/>
  <c r="U51" i="32"/>
  <c r="S51" i="32"/>
  <c r="M51" i="32"/>
  <c r="K51" i="32"/>
  <c r="I51" i="32"/>
  <c r="G51" i="32"/>
  <c r="E51" i="32"/>
  <c r="C51" i="32"/>
  <c r="AD50" i="32"/>
  <c r="AB50" i="32"/>
  <c r="Z50" i="32"/>
  <c r="X50" i="32"/>
  <c r="V50" i="32"/>
  <c r="T50" i="32"/>
  <c r="N50" i="32"/>
  <c r="L50" i="32"/>
  <c r="J50" i="32"/>
  <c r="H50" i="32"/>
  <c r="F50" i="32"/>
  <c r="D50" i="32"/>
  <c r="R49" i="32"/>
  <c r="B49" i="32"/>
  <c r="AC47" i="32"/>
  <c r="AA47" i="32"/>
  <c r="Y47" i="32"/>
  <c r="W47" i="32"/>
  <c r="U47" i="32"/>
  <c r="S47" i="32"/>
  <c r="M47" i="32"/>
  <c r="K47" i="32"/>
  <c r="I47" i="32"/>
  <c r="G47" i="32"/>
  <c r="E47" i="32"/>
  <c r="C47" i="32"/>
  <c r="AA46" i="32"/>
  <c r="Y46" i="32"/>
  <c r="W46" i="32"/>
  <c r="U46" i="32"/>
  <c r="S46" i="32"/>
  <c r="K46" i="32"/>
  <c r="I46" i="32"/>
  <c r="G46" i="32"/>
  <c r="E46" i="32"/>
  <c r="C46" i="32"/>
  <c r="B38" i="32" s="1"/>
  <c r="AA45" i="32"/>
  <c r="Y45" i="32"/>
  <c r="W45" i="32"/>
  <c r="U45" i="32"/>
  <c r="S45" i="32"/>
  <c r="K45" i="32"/>
  <c r="I45" i="32"/>
  <c r="G45" i="32"/>
  <c r="E45" i="32"/>
  <c r="C45" i="32"/>
  <c r="AA44" i="32"/>
  <c r="Y44" i="32"/>
  <c r="W44" i="32"/>
  <c r="U44" i="32"/>
  <c r="S44" i="32"/>
  <c r="K44" i="32"/>
  <c r="I44" i="32"/>
  <c r="G44" i="32"/>
  <c r="E44" i="32"/>
  <c r="C44" i="32"/>
  <c r="AC43" i="32"/>
  <c r="AC46" i="32" s="1"/>
  <c r="AA43" i="32"/>
  <c r="Y43" i="32"/>
  <c r="W43" i="32"/>
  <c r="U43" i="32"/>
  <c r="S43" i="32"/>
  <c r="M43" i="32"/>
  <c r="M46" i="32" s="1"/>
  <c r="K43" i="32"/>
  <c r="I43" i="32"/>
  <c r="G43" i="32"/>
  <c r="E43" i="32"/>
  <c r="C43" i="32"/>
  <c r="AA42" i="32"/>
  <c r="Y42" i="32"/>
  <c r="W42" i="32"/>
  <c r="U42" i="32"/>
  <c r="S42" i="32"/>
  <c r="K42" i="32"/>
  <c r="I42" i="32"/>
  <c r="G42" i="32"/>
  <c r="E42" i="32"/>
  <c r="C42" i="32"/>
  <c r="AC41" i="32"/>
  <c r="AA41" i="32"/>
  <c r="Y41" i="32"/>
  <c r="W41" i="32"/>
  <c r="U41" i="32"/>
  <c r="S41" i="32"/>
  <c r="M41" i="32"/>
  <c r="K41" i="32"/>
  <c r="I41" i="32"/>
  <c r="G41" i="32"/>
  <c r="E41" i="32"/>
  <c r="C41" i="32"/>
  <c r="AC40" i="32"/>
  <c r="AA40" i="32"/>
  <c r="Y40" i="32"/>
  <c r="W40" i="32"/>
  <c r="U40" i="32"/>
  <c r="S40" i="32"/>
  <c r="M40" i="32"/>
  <c r="K40" i="32"/>
  <c r="I40" i="32"/>
  <c r="G40" i="32"/>
  <c r="E40" i="32"/>
  <c r="C40" i="32"/>
  <c r="AD39" i="32"/>
  <c r="AB39" i="32"/>
  <c r="Z39" i="32"/>
  <c r="X39" i="32"/>
  <c r="V39" i="32"/>
  <c r="T39" i="32"/>
  <c r="N39" i="32"/>
  <c r="L39" i="32"/>
  <c r="J39" i="32"/>
  <c r="H39" i="32"/>
  <c r="F39" i="32"/>
  <c r="D39" i="32"/>
  <c r="R38" i="32"/>
  <c r="AC36" i="32"/>
  <c r="AA36" i="32"/>
  <c r="Y36" i="32"/>
  <c r="W36" i="32"/>
  <c r="U36" i="32"/>
  <c r="S36" i="32"/>
  <c r="M36" i="32"/>
  <c r="K36" i="32"/>
  <c r="I36" i="32"/>
  <c r="G36" i="32"/>
  <c r="E36" i="32"/>
  <c r="C36" i="32"/>
  <c r="AA35" i="32"/>
  <c r="Y35" i="32"/>
  <c r="W35" i="32"/>
  <c r="U35" i="32"/>
  <c r="S35" i="32"/>
  <c r="K35" i="32"/>
  <c r="I35" i="32"/>
  <c r="G35" i="32"/>
  <c r="E35" i="32"/>
  <c r="C35" i="32"/>
  <c r="AA34" i="32"/>
  <c r="Y34" i="32"/>
  <c r="W34" i="32"/>
  <c r="U34" i="32"/>
  <c r="S34" i="32"/>
  <c r="K34" i="32"/>
  <c r="I34" i="32"/>
  <c r="G34" i="32"/>
  <c r="E34" i="32"/>
  <c r="C34" i="32"/>
  <c r="AA33" i="32"/>
  <c r="Y33" i="32"/>
  <c r="W33" i="32"/>
  <c r="U33" i="32"/>
  <c r="S33" i="32"/>
  <c r="K33" i="32"/>
  <c r="I33" i="32"/>
  <c r="G33" i="32"/>
  <c r="E33" i="32"/>
  <c r="C33" i="32"/>
  <c r="AC32" i="32"/>
  <c r="AC35" i="32" s="1"/>
  <c r="AA32" i="32"/>
  <c r="Y32" i="32"/>
  <c r="W32" i="32"/>
  <c r="U32" i="32"/>
  <c r="S32" i="32"/>
  <c r="M32" i="32"/>
  <c r="K32" i="32"/>
  <c r="I32" i="32"/>
  <c r="G32" i="32"/>
  <c r="E32" i="32"/>
  <c r="C32" i="32"/>
  <c r="AA31" i="32"/>
  <c r="Y31" i="32"/>
  <c r="W31" i="32"/>
  <c r="U31" i="32"/>
  <c r="S31" i="32"/>
  <c r="K31" i="32"/>
  <c r="I31" i="32"/>
  <c r="G31" i="32"/>
  <c r="E31" i="32"/>
  <c r="C31" i="32"/>
  <c r="AC30" i="32"/>
  <c r="AA30" i="32"/>
  <c r="Y30" i="32"/>
  <c r="W30" i="32"/>
  <c r="U30" i="32"/>
  <c r="S30" i="32"/>
  <c r="M30" i="32"/>
  <c r="K30" i="32"/>
  <c r="I30" i="32"/>
  <c r="G30" i="32"/>
  <c r="E30" i="32"/>
  <c r="C30" i="32"/>
  <c r="AC29" i="32"/>
  <c r="AA29" i="32"/>
  <c r="Y29" i="32"/>
  <c r="W29" i="32"/>
  <c r="U29" i="32"/>
  <c r="S29" i="32"/>
  <c r="M29" i="32"/>
  <c r="K29" i="32"/>
  <c r="I29" i="32"/>
  <c r="G29" i="32"/>
  <c r="E29" i="32"/>
  <c r="C29" i="32"/>
  <c r="AD28" i="32"/>
  <c r="AB28" i="32"/>
  <c r="Z28" i="32"/>
  <c r="X28" i="32"/>
  <c r="V28" i="32"/>
  <c r="T28" i="32"/>
  <c r="N28" i="32"/>
  <c r="L28" i="32"/>
  <c r="J28" i="32"/>
  <c r="H28" i="32"/>
  <c r="F28" i="32"/>
  <c r="D28" i="32"/>
  <c r="R27" i="32"/>
  <c r="B27" i="32"/>
  <c r="AC25" i="32"/>
  <c r="AA25" i="32"/>
  <c r="Y25" i="32"/>
  <c r="W25" i="32"/>
  <c r="U25" i="32"/>
  <c r="S25" i="32"/>
  <c r="M25" i="32"/>
  <c r="K25" i="32"/>
  <c r="I25" i="32"/>
  <c r="G25" i="32"/>
  <c r="E25" i="32"/>
  <c r="C25" i="32"/>
  <c r="AA24" i="32"/>
  <c r="Y24" i="32"/>
  <c r="W24" i="32"/>
  <c r="U24" i="32"/>
  <c r="S24" i="32"/>
  <c r="AA23" i="32"/>
  <c r="Y23" i="32"/>
  <c r="W23" i="32"/>
  <c r="U23" i="32"/>
  <c r="S23" i="32"/>
  <c r="AA22" i="32"/>
  <c r="Y22" i="32"/>
  <c r="W22" i="32"/>
  <c r="U22" i="32"/>
  <c r="S22" i="32"/>
  <c r="AC21" i="32"/>
  <c r="AC24" i="32" s="1"/>
  <c r="AA21" i="32"/>
  <c r="Y21" i="32"/>
  <c r="W21" i="32"/>
  <c r="U21" i="32"/>
  <c r="S21" i="32"/>
  <c r="M21" i="32"/>
  <c r="AA20" i="32"/>
  <c r="Y20" i="32"/>
  <c r="W20" i="32"/>
  <c r="U20" i="32"/>
  <c r="S20" i="32"/>
  <c r="AP19" i="32"/>
  <c r="AC19" i="32"/>
  <c r="AA19" i="32"/>
  <c r="Y19" i="32"/>
  <c r="W19" i="32"/>
  <c r="U19" i="32"/>
  <c r="S19" i="32"/>
  <c r="AO18" i="32"/>
  <c r="AN18" i="32"/>
  <c r="AM18" i="32"/>
  <c r="AL18" i="32"/>
  <c r="AK18" i="32"/>
  <c r="AJ18" i="32"/>
  <c r="AI18" i="32"/>
  <c r="AC18" i="32"/>
  <c r="AA18" i="32"/>
  <c r="Y18" i="32"/>
  <c r="W18" i="32"/>
  <c r="U18" i="32"/>
  <c r="S18" i="32"/>
  <c r="AD17" i="32"/>
  <c r="AB17" i="32"/>
  <c r="Z17" i="32"/>
  <c r="X17" i="32"/>
  <c r="V17" i="32"/>
  <c r="T17" i="32"/>
  <c r="N17" i="32"/>
  <c r="M17" i="32"/>
  <c r="K17" i="32"/>
  <c r="I17" i="32"/>
  <c r="G17" i="32"/>
  <c r="E17" i="32"/>
  <c r="AI16" i="32"/>
  <c r="AL24" i="32" s="1"/>
  <c r="R16" i="32"/>
  <c r="M16" i="32"/>
  <c r="B13" i="32"/>
  <c r="AC8" i="32"/>
  <c r="B8" i="20"/>
  <c r="B9" i="20" s="1"/>
  <c r="B41" i="19"/>
  <c r="AH40" i="19"/>
  <c r="B39" i="19"/>
  <c r="AH38" i="19"/>
  <c r="B37" i="19"/>
  <c r="AH36" i="19"/>
  <c r="B35" i="19"/>
  <c r="AH34" i="19"/>
  <c r="B33" i="19"/>
  <c r="AH32" i="19"/>
  <c r="B31" i="19"/>
  <c r="AH30" i="19"/>
  <c r="B29" i="19"/>
  <c r="AH28" i="19"/>
  <c r="B27" i="19"/>
  <c r="AH26" i="19"/>
  <c r="B25" i="19"/>
  <c r="AH24" i="19"/>
  <c r="B23" i="19"/>
  <c r="AH22" i="19"/>
  <c r="B21" i="19"/>
  <c r="AH20" i="19"/>
  <c r="B19" i="19"/>
  <c r="AH18" i="19"/>
  <c r="B17" i="19"/>
  <c r="AH16" i="19"/>
  <c r="B15" i="19"/>
  <c r="AH14" i="19"/>
  <c r="B13" i="19"/>
  <c r="AH12" i="19"/>
  <c r="B8" i="19"/>
  <c r="B79" i="12"/>
  <c r="B73" i="12"/>
  <c r="B67" i="12"/>
  <c r="B55" i="12"/>
  <c r="B49" i="12"/>
  <c r="B43" i="12"/>
  <c r="B37" i="12"/>
  <c r="B31" i="12"/>
  <c r="B25" i="12"/>
  <c r="B19" i="12"/>
  <c r="B13" i="12"/>
  <c r="C14" i="39" l="1"/>
  <c r="C51" i="39" s="1"/>
  <c r="C13" i="39"/>
  <c r="C52" i="39" s="1"/>
  <c r="BD20" i="39"/>
  <c r="BC20" i="39" s="1"/>
  <c r="BD22" i="39"/>
  <c r="BC22" i="39" s="1"/>
  <c r="D9" i="39"/>
  <c r="D14" i="39" s="1"/>
  <c r="D51" i="39" s="1"/>
  <c r="BD17" i="39"/>
  <c r="BC17" i="39" s="1"/>
  <c r="BC16" i="39"/>
  <c r="BC31" i="39"/>
  <c r="BC28" i="39" s="1"/>
  <c r="BD28" i="39"/>
  <c r="BD37" i="39"/>
  <c r="BD33" i="39"/>
  <c r="BC33" i="39" s="1"/>
  <c r="BC32" i="39"/>
  <c r="BD36" i="39"/>
  <c r="BC36" i="39" s="1"/>
  <c r="BH25" i="39"/>
  <c r="BH30" i="39"/>
  <c r="BH29" i="39"/>
  <c r="BH27" i="39"/>
  <c r="BH21" i="39"/>
  <c r="BH28" i="39"/>
  <c r="BH26" i="39"/>
  <c r="BH20" i="39"/>
  <c r="BH18" i="39"/>
  <c r="BH16" i="39"/>
  <c r="BH17" i="39"/>
  <c r="J247" i="38"/>
  <c r="J244" i="38"/>
  <c r="J246" i="38"/>
  <c r="J222" i="38"/>
  <c r="J224" i="38"/>
  <c r="F226" i="38"/>
  <c r="J221" i="38"/>
  <c r="J223" i="38"/>
  <c r="J245" i="38"/>
  <c r="F249" i="38"/>
  <c r="F206" i="38"/>
  <c r="F207" i="38" s="1"/>
  <c r="F202" i="38"/>
  <c r="F203" i="38" s="1"/>
  <c r="I226" i="38"/>
  <c r="I249" i="38"/>
  <c r="H39" i="38"/>
  <c r="E42" i="38"/>
  <c r="H41" i="38"/>
  <c r="F42" i="38"/>
  <c r="G24" i="38"/>
  <c r="G27" i="38" s="1"/>
  <c r="G30" i="38"/>
  <c r="G33" i="38" s="1"/>
  <c r="D30" i="38"/>
  <c r="D33" i="38" s="1"/>
  <c r="D24" i="38"/>
  <c r="D27" i="38" s="1"/>
  <c r="F30" i="38"/>
  <c r="F33" i="38" s="1"/>
  <c r="F24" i="38"/>
  <c r="F27" i="38" s="1"/>
  <c r="E37" i="38"/>
  <c r="E40" i="38"/>
  <c r="E34" i="38"/>
  <c r="H24" i="38"/>
  <c r="H27" i="38" s="1"/>
  <c r="H30" i="38"/>
  <c r="H33" i="38" s="1"/>
  <c r="E30" i="38"/>
  <c r="E33" i="38" s="1"/>
  <c r="D38" i="38"/>
  <c r="F38" i="38"/>
  <c r="G41" i="38"/>
  <c r="E38" i="38"/>
  <c r="G39" i="38"/>
  <c r="D41" i="38"/>
  <c r="F41" i="38"/>
  <c r="H42" i="38"/>
  <c r="H38" i="38"/>
  <c r="D39" i="38"/>
  <c r="F39" i="38"/>
  <c r="E41" i="38"/>
  <c r="G42" i="38"/>
  <c r="G38" i="38"/>
  <c r="E39" i="38"/>
  <c r="D42" i="38"/>
  <c r="B63" i="36"/>
  <c r="D62" i="36" s="1"/>
  <c r="B51" i="36"/>
  <c r="D50" i="36" s="1"/>
  <c r="D52" i="36" s="1"/>
  <c r="C29" i="36"/>
  <c r="C28" i="36"/>
  <c r="C14" i="36"/>
  <c r="C20" i="36"/>
  <c r="B27" i="36"/>
  <c r="D26" i="36" s="1"/>
  <c r="C35" i="36"/>
  <c r="C36" i="36" s="1" a="1"/>
  <c r="C36" i="36" s="1"/>
  <c r="C34" i="36"/>
  <c r="C8" i="36"/>
  <c r="B33" i="36"/>
  <c r="D32" i="36" s="1"/>
  <c r="C38" i="36"/>
  <c r="C44" i="36"/>
  <c r="C53" i="36"/>
  <c r="C54" i="36" s="1" a="1"/>
  <c r="C54" i="36" s="1"/>
  <c r="B75" i="36"/>
  <c r="C74" i="36"/>
  <c r="C56" i="36"/>
  <c r="C65" i="36"/>
  <c r="C66" i="36" s="1" a="1"/>
  <c r="C66" i="36" s="1"/>
  <c r="C64" i="36"/>
  <c r="C68" i="36"/>
  <c r="B69" i="36"/>
  <c r="C12" i="35" a="1"/>
  <c r="C12" i="35" s="1"/>
  <c r="C11" i="35"/>
  <c r="C43" i="35"/>
  <c r="C45" i="35" s="1"/>
  <c r="C48" i="35"/>
  <c r="C52" i="35" s="1" a="1"/>
  <c r="C52" i="35" s="1"/>
  <c r="C38" i="35"/>
  <c r="C40" i="35" s="1"/>
  <c r="C18" i="35"/>
  <c r="C20" i="35" s="1"/>
  <c r="B24" i="35"/>
  <c r="D23" i="35" s="1"/>
  <c r="D8" i="35"/>
  <c r="C16" i="35"/>
  <c r="C15" i="35"/>
  <c r="B14" i="35"/>
  <c r="D13" i="35" s="1"/>
  <c r="C27" i="35" a="1"/>
  <c r="C27" i="35" s="1"/>
  <c r="C26" i="35"/>
  <c r="B29" i="35"/>
  <c r="C28" i="35"/>
  <c r="C25" i="35"/>
  <c r="D43" i="35"/>
  <c r="B54" i="35"/>
  <c r="C53" i="35"/>
  <c r="C33" i="35"/>
  <c r="B64" i="35"/>
  <c r="C63" i="35"/>
  <c r="B59" i="35"/>
  <c r="C58" i="35"/>
  <c r="AE36" i="32"/>
  <c r="O47" i="32"/>
  <c r="AE47" i="32"/>
  <c r="O58" i="32"/>
  <c r="O91" i="32"/>
  <c r="AE91" i="32"/>
  <c r="AC33" i="32"/>
  <c r="AE34" i="32" s="1"/>
  <c r="I19" i="33"/>
  <c r="O19" i="33" s="1"/>
  <c r="I100" i="33"/>
  <c r="O100" i="33" s="1"/>
  <c r="I73" i="33"/>
  <c r="O73" i="33" s="1"/>
  <c r="O25" i="32"/>
  <c r="M33" i="32"/>
  <c r="O36" i="32"/>
  <c r="M66" i="32"/>
  <c r="O68" i="32" s="1"/>
  <c r="AC77" i="32"/>
  <c r="AE78" i="32" s="1"/>
  <c r="AC88" i="32"/>
  <c r="I46" i="33"/>
  <c r="O46" i="33" s="1"/>
  <c r="I82" i="33"/>
  <c r="O82" i="33" s="1"/>
  <c r="I109" i="33"/>
  <c r="O109" i="33" s="1"/>
  <c r="M44" i="32"/>
  <c r="O40" i="32" s="1"/>
  <c r="AC55" i="32"/>
  <c r="AE57" i="32" s="1"/>
  <c r="AE80" i="32"/>
  <c r="I28" i="33"/>
  <c r="O28" i="33" s="1"/>
  <c r="I55" i="33"/>
  <c r="O55" i="33" s="1"/>
  <c r="I91" i="33"/>
  <c r="O91" i="33" s="1"/>
  <c r="AE58" i="32"/>
  <c r="AC66" i="32"/>
  <c r="AE62" i="32" s="1"/>
  <c r="O69" i="32"/>
  <c r="AE69" i="32"/>
  <c r="M77" i="32"/>
  <c r="O79" i="32" s="1"/>
  <c r="O80" i="32"/>
  <c r="M88" i="32"/>
  <c r="O84" i="32" s="1"/>
  <c r="I10" i="33"/>
  <c r="O10" i="33" s="1"/>
  <c r="I37" i="33"/>
  <c r="O37" i="33" s="1"/>
  <c r="I64" i="33"/>
  <c r="O64" i="33" s="1"/>
  <c r="M22" i="32"/>
  <c r="M24" i="32" s="1"/>
  <c r="K2" i="33"/>
  <c r="AJ20" i="32"/>
  <c r="E19" i="32" s="1"/>
  <c r="AI21" i="32"/>
  <c r="G18" i="32" s="1"/>
  <c r="AL19" i="32"/>
  <c r="C21" i="32" s="1"/>
  <c r="B16" i="32"/>
  <c r="AI23" i="32"/>
  <c r="K18" i="32" s="1"/>
  <c r="AM90" i="32"/>
  <c r="AI90" i="32"/>
  <c r="AC84" i="32" s="1"/>
  <c r="AN89" i="32"/>
  <c r="AA89" i="32" s="1"/>
  <c r="AJ89" i="32"/>
  <c r="AA85" i="32" s="1"/>
  <c r="AM88" i="32"/>
  <c r="Y88" i="32" s="1"/>
  <c r="AI88" i="32"/>
  <c r="Y84" i="32" s="1"/>
  <c r="AN87" i="32"/>
  <c r="W89" i="32" s="1"/>
  <c r="AJ87" i="32"/>
  <c r="W85" i="32" s="1"/>
  <c r="AO86" i="32"/>
  <c r="U90" i="32" s="1"/>
  <c r="AK86" i="32"/>
  <c r="U86" i="32" s="1"/>
  <c r="AO85" i="32"/>
  <c r="S90" i="32" s="1"/>
  <c r="R82" i="32" s="1"/>
  <c r="AK85" i="32"/>
  <c r="S86" i="32" s="1"/>
  <c r="AL90" i="32"/>
  <c r="AM89" i="32"/>
  <c r="AA88" i="32" s="1"/>
  <c r="AI89" i="32"/>
  <c r="AA84" i="32" s="1"/>
  <c r="AL88" i="32"/>
  <c r="Y87" i="32" s="1"/>
  <c r="AM87" i="32"/>
  <c r="W88" i="32" s="1"/>
  <c r="AI87" i="32"/>
  <c r="W84" i="32" s="1"/>
  <c r="AN86" i="32"/>
  <c r="U89" i="32" s="1"/>
  <c r="AJ86" i="32"/>
  <c r="U85" i="32" s="1"/>
  <c r="AN85" i="32"/>
  <c r="S89" i="32" s="1"/>
  <c r="AJ85" i="32"/>
  <c r="S85" i="32" s="1"/>
  <c r="AO90" i="32"/>
  <c r="AK90" i="32"/>
  <c r="AL89" i="32"/>
  <c r="AA87" i="32" s="1"/>
  <c r="AO88" i="32"/>
  <c r="Y90" i="32" s="1"/>
  <c r="AK88" i="32"/>
  <c r="Y86" i="32" s="1"/>
  <c r="AL87" i="32"/>
  <c r="W87" i="32" s="1"/>
  <c r="AM86" i="32"/>
  <c r="U88" i="32" s="1"/>
  <c r="AI86" i="32"/>
  <c r="U84" i="32" s="1"/>
  <c r="AM85" i="32"/>
  <c r="S88" i="32" s="1"/>
  <c r="AI85" i="32"/>
  <c r="S84" i="32" s="1"/>
  <c r="AN90" i="32"/>
  <c r="AJ90" i="32"/>
  <c r="AC85" i="32" s="1"/>
  <c r="AO89" i="32"/>
  <c r="AA90" i="32" s="1"/>
  <c r="AK89" i="32"/>
  <c r="AA86" i="32" s="1"/>
  <c r="AN88" i="32"/>
  <c r="Y89" i="32" s="1"/>
  <c r="AJ88" i="32"/>
  <c r="Y85" i="32" s="1"/>
  <c r="AO87" i="32"/>
  <c r="W90" i="32" s="1"/>
  <c r="AK87" i="32"/>
  <c r="W86" i="32" s="1"/>
  <c r="AL86" i="32"/>
  <c r="U87" i="32" s="1"/>
  <c r="AL85" i="32"/>
  <c r="S87" i="32" s="1"/>
  <c r="AM19" i="32"/>
  <c r="C22" i="32" s="1"/>
  <c r="AL20" i="32"/>
  <c r="E21" i="32" s="1"/>
  <c r="AK21" i="32"/>
  <c r="G20" i="32" s="1"/>
  <c r="AJ22" i="32"/>
  <c r="I19" i="32" s="1"/>
  <c r="AK23" i="32"/>
  <c r="K20" i="32" s="1"/>
  <c r="AJ24" i="32"/>
  <c r="M19" i="32" s="1"/>
  <c r="AB12" i="32"/>
  <c r="AC22" i="32"/>
  <c r="AE24" i="32" s="1"/>
  <c r="AI19" i="32"/>
  <c r="C18" i="32" s="1"/>
  <c r="AN19" i="32"/>
  <c r="C23" i="32" s="1"/>
  <c r="AM20" i="32"/>
  <c r="E22" i="32" s="1"/>
  <c r="AM21" i="32"/>
  <c r="G22" i="32" s="1"/>
  <c r="AL22" i="32"/>
  <c r="I21" i="32" s="1"/>
  <c r="AM23" i="32"/>
  <c r="K22" i="32" s="1"/>
  <c r="AC44" i="32"/>
  <c r="AE42" i="32" s="1"/>
  <c r="M55" i="32"/>
  <c r="O57" i="32" s="1"/>
  <c r="AM24" i="32"/>
  <c r="AI24" i="32"/>
  <c r="M18" i="32" s="1"/>
  <c r="AN23" i="32"/>
  <c r="K23" i="32" s="1"/>
  <c r="AJ23" i="32"/>
  <c r="K19" i="32" s="1"/>
  <c r="AM22" i="32"/>
  <c r="I22" i="32" s="1"/>
  <c r="AI22" i="32"/>
  <c r="I18" i="32" s="1"/>
  <c r="AN21" i="32"/>
  <c r="G23" i="32" s="1"/>
  <c r="AJ21" i="32"/>
  <c r="G19" i="32" s="1"/>
  <c r="AO20" i="32"/>
  <c r="E24" i="32" s="1"/>
  <c r="AK20" i="32"/>
  <c r="E20" i="32" s="1"/>
  <c r="AO19" i="32"/>
  <c r="C24" i="32" s="1"/>
  <c r="AK19" i="32"/>
  <c r="C20" i="32" s="1"/>
  <c r="AO24" i="32"/>
  <c r="AK24" i="32"/>
  <c r="AL23" i="32"/>
  <c r="K21" i="32" s="1"/>
  <c r="AO22" i="32"/>
  <c r="I24" i="32" s="1"/>
  <c r="AK22" i="32"/>
  <c r="I20" i="32" s="1"/>
  <c r="AL21" i="32"/>
  <c r="G21" i="32" s="1"/>
  <c r="AJ19" i="32"/>
  <c r="C19" i="32" s="1"/>
  <c r="AI20" i="32"/>
  <c r="E18" i="32" s="1"/>
  <c r="AN20" i="32"/>
  <c r="E23" i="32" s="1"/>
  <c r="AO21" i="32"/>
  <c r="G24" i="32" s="1"/>
  <c r="AN22" i="32"/>
  <c r="I23" i="32" s="1"/>
  <c r="AO23" i="32"/>
  <c r="K24" i="32" s="1"/>
  <c r="AN24" i="32"/>
  <c r="AE25" i="32"/>
  <c r="C8" i="20"/>
  <c r="B9" i="19"/>
  <c r="C8" i="19"/>
  <c r="O85" i="32" l="1"/>
  <c r="AM14" i="39"/>
  <c r="D13" i="39"/>
  <c r="D52" i="39" s="1"/>
  <c r="E9" i="39"/>
  <c r="E14" i="39" s="1"/>
  <c r="E51" i="39" s="1"/>
  <c r="BH23" i="39"/>
  <c r="BH19" i="39"/>
  <c r="BH24" i="39"/>
  <c r="BH22" i="39"/>
  <c r="BD38" i="39"/>
  <c r="BC38" i="39" s="1"/>
  <c r="BC37" i="39"/>
  <c r="J226" i="38"/>
  <c r="J249" i="38"/>
  <c r="O89" i="32"/>
  <c r="E31" i="38"/>
  <c r="E32" i="38" s="1"/>
  <c r="D40" i="38"/>
  <c r="D34" i="38"/>
  <c r="D37" i="38"/>
  <c r="D31" i="38"/>
  <c r="D32" i="38" s="1"/>
  <c r="H31" i="38"/>
  <c r="H32" i="38" s="1"/>
  <c r="H40" i="38"/>
  <c r="H34" i="38"/>
  <c r="H37" i="38"/>
  <c r="F40" i="38"/>
  <c r="F34" i="38"/>
  <c r="F37" i="38"/>
  <c r="F31" i="38"/>
  <c r="F32" i="38" s="1"/>
  <c r="G31" i="38"/>
  <c r="G32" i="38" s="1"/>
  <c r="G40" i="38"/>
  <c r="G34" i="38"/>
  <c r="G37" i="38"/>
  <c r="O87" i="32"/>
  <c r="O90" i="32"/>
  <c r="O86" i="32"/>
  <c r="O88" i="32"/>
  <c r="AE66" i="32"/>
  <c r="AE51" i="32"/>
  <c r="AE68" i="32"/>
  <c r="AE53" i="32"/>
  <c r="AE33" i="32"/>
  <c r="D53" i="36"/>
  <c r="D54" i="36" s="1" a="1"/>
  <c r="D54" i="36" s="1"/>
  <c r="D65" i="36"/>
  <c r="D66" i="36" s="1" a="1"/>
  <c r="D66" i="36" s="1"/>
  <c r="D64" i="36"/>
  <c r="E62" i="36"/>
  <c r="F62" i="36" s="1"/>
  <c r="E50" i="36"/>
  <c r="E52" i="36" s="1"/>
  <c r="D34" i="36"/>
  <c r="E32" i="36"/>
  <c r="D35" i="36"/>
  <c r="D36" i="36" s="1" a="1"/>
  <c r="D36" i="36" s="1"/>
  <c r="D28" i="36"/>
  <c r="E26" i="36"/>
  <c r="D29" i="36"/>
  <c r="C77" i="36"/>
  <c r="C78" i="36" s="1" a="1"/>
  <c r="C78" i="36" s="1"/>
  <c r="C76" i="36"/>
  <c r="D74" i="36"/>
  <c r="C71" i="36"/>
  <c r="C72" i="36" s="1" a="1"/>
  <c r="C72" i="36" s="1"/>
  <c r="C70" i="36"/>
  <c r="D68" i="36"/>
  <c r="C58" i="36"/>
  <c r="D56" i="36"/>
  <c r="C59" i="36"/>
  <c r="C60" i="36" s="1" a="1"/>
  <c r="C60" i="36" s="1"/>
  <c r="C46" i="36"/>
  <c r="D44" i="36"/>
  <c r="C47" i="36"/>
  <c r="C48" i="36" s="1" a="1"/>
  <c r="C48" i="36" s="1"/>
  <c r="C10" i="36"/>
  <c r="C11" i="36"/>
  <c r="D8" i="36"/>
  <c r="C40" i="36"/>
  <c r="D38" i="36"/>
  <c r="C41" i="36"/>
  <c r="C42" i="36" s="1" a="1"/>
  <c r="C42" i="36" s="1"/>
  <c r="C22" i="36"/>
  <c r="D20" i="36"/>
  <c r="C23" i="36"/>
  <c r="C24" i="36" s="1" a="1"/>
  <c r="C24" i="36" s="1"/>
  <c r="C17" i="36"/>
  <c r="D14" i="36"/>
  <c r="C18" i="36" a="1"/>
  <c r="C18" i="36" s="1"/>
  <c r="C16" i="36"/>
  <c r="C46" i="35"/>
  <c r="C50" i="35"/>
  <c r="C47" i="35" a="1"/>
  <c r="C47" i="35" s="1"/>
  <c r="C51" i="35"/>
  <c r="D48" i="35"/>
  <c r="D51" i="35" s="1"/>
  <c r="C21" i="35"/>
  <c r="AE32" i="32"/>
  <c r="AE35" i="32"/>
  <c r="C22" i="35" a="1"/>
  <c r="C22" i="35" s="1"/>
  <c r="D18" i="35"/>
  <c r="C41" i="35"/>
  <c r="D38" i="35"/>
  <c r="C42" i="35" a="1"/>
  <c r="C42" i="35" s="1"/>
  <c r="D22" i="35" a="1"/>
  <c r="D22" i="35" s="1"/>
  <c r="D12" i="35" a="1"/>
  <c r="D12" i="35" s="1"/>
  <c r="D11" i="35"/>
  <c r="D10" i="35"/>
  <c r="E8" i="35"/>
  <c r="C32" i="35" a="1"/>
  <c r="C32" i="35" s="1"/>
  <c r="C31" i="35"/>
  <c r="C30" i="35"/>
  <c r="D28" i="35"/>
  <c r="C62" i="35" a="1"/>
  <c r="C62" i="35" s="1"/>
  <c r="D58" i="35"/>
  <c r="C61" i="35"/>
  <c r="C60" i="35"/>
  <c r="C37" i="35" a="1"/>
  <c r="C37" i="35" s="1"/>
  <c r="D33" i="35"/>
  <c r="C36" i="35"/>
  <c r="C35" i="35"/>
  <c r="D47" i="35" a="1"/>
  <c r="D47" i="35" s="1"/>
  <c r="E43" i="35"/>
  <c r="D46" i="35"/>
  <c r="D45" i="35"/>
  <c r="D15" i="35"/>
  <c r="E13" i="35"/>
  <c r="D17" i="35" a="1"/>
  <c r="D17" i="35" s="1"/>
  <c r="D16" i="35"/>
  <c r="C67" i="35" a="1"/>
  <c r="C67" i="35" s="1"/>
  <c r="D63" i="35"/>
  <c r="C65" i="35"/>
  <c r="C66" i="35"/>
  <c r="C57" i="35" a="1"/>
  <c r="C57" i="35" s="1"/>
  <c r="C56" i="35"/>
  <c r="D53" i="35"/>
  <c r="C55" i="35"/>
  <c r="E23" i="35"/>
  <c r="D26" i="35"/>
  <c r="D25" i="35"/>
  <c r="D27" i="35" a="1"/>
  <c r="D27" i="35" s="1"/>
  <c r="AE29" i="32"/>
  <c r="AE31" i="32"/>
  <c r="AE30" i="32"/>
  <c r="O77" i="32"/>
  <c r="AE43" i="32"/>
  <c r="AE64" i="32"/>
  <c r="AE65" i="32"/>
  <c r="AE67" i="32"/>
  <c r="M35" i="32"/>
  <c r="O33" i="32" s="1"/>
  <c r="AE63" i="32"/>
  <c r="AE56" i="32"/>
  <c r="O44" i="32"/>
  <c r="I2" i="33"/>
  <c r="O2" i="33" s="1"/>
  <c r="AE52" i="32"/>
  <c r="AE73" i="32"/>
  <c r="AE54" i="32"/>
  <c r="AE77" i="32"/>
  <c r="AE55" i="32"/>
  <c r="O43" i="32"/>
  <c r="O55" i="32"/>
  <c r="O53" i="32"/>
  <c r="O52" i="32"/>
  <c r="O54" i="32"/>
  <c r="O67" i="32"/>
  <c r="O66" i="32"/>
  <c r="O65" i="32"/>
  <c r="O63" i="32"/>
  <c r="O62" i="32"/>
  <c r="O64" i="32"/>
  <c r="O74" i="32"/>
  <c r="AE75" i="32"/>
  <c r="O76" i="32"/>
  <c r="O42" i="32"/>
  <c r="O46" i="32"/>
  <c r="AE76" i="32"/>
  <c r="AE74" i="32"/>
  <c r="O73" i="32"/>
  <c r="AE79" i="32"/>
  <c r="O41" i="32"/>
  <c r="O78" i="32"/>
  <c r="O45" i="32"/>
  <c r="O75" i="32"/>
  <c r="AE41" i="32"/>
  <c r="AE46" i="32"/>
  <c r="AE40" i="32"/>
  <c r="AE45" i="32"/>
  <c r="AE44" i="32"/>
  <c r="O56" i="32"/>
  <c r="AE19" i="32"/>
  <c r="O51" i="32"/>
  <c r="AE22" i="32"/>
  <c r="AE21" i="32"/>
  <c r="AE20" i="32"/>
  <c r="AE23" i="32"/>
  <c r="AE84" i="32"/>
  <c r="AE90" i="32"/>
  <c r="AE88" i="32"/>
  <c r="AE89" i="32"/>
  <c r="AE87" i="32"/>
  <c r="AE86" i="32"/>
  <c r="AE85" i="32"/>
  <c r="Z14" i="32"/>
  <c r="AD14" i="32" s="1"/>
  <c r="O24" i="32"/>
  <c r="O23" i="32"/>
  <c r="O22" i="32"/>
  <c r="O19" i="32"/>
  <c r="O21" i="32"/>
  <c r="O20" i="32"/>
  <c r="O18" i="32"/>
  <c r="AE18" i="32"/>
  <c r="C11" i="20"/>
  <c r="D8" i="20"/>
  <c r="C10" i="20"/>
  <c r="C36" i="19" a="1"/>
  <c r="C36" i="19" s="1"/>
  <c r="C38" i="19" a="1"/>
  <c r="C38" i="19" s="1"/>
  <c r="C30" i="19" a="1"/>
  <c r="C30" i="19" s="1"/>
  <c r="C22" i="19" a="1"/>
  <c r="C22" i="19" s="1"/>
  <c r="C32" i="19" a="1"/>
  <c r="C32" i="19" s="1"/>
  <c r="C40" i="19" a="1"/>
  <c r="C40" i="19" s="1"/>
  <c r="C34" i="19" a="1"/>
  <c r="C34" i="19" s="1"/>
  <c r="C26" i="19" a="1"/>
  <c r="C26" i="19" s="1"/>
  <c r="C20" i="19" a="1"/>
  <c r="C20" i="19" s="1"/>
  <c r="C28" i="19" a="1"/>
  <c r="C28" i="19" s="1"/>
  <c r="C16" i="19" a="1"/>
  <c r="C16" i="19" s="1"/>
  <c r="C10" i="19"/>
  <c r="C24" i="19" a="1"/>
  <c r="C24" i="19" s="1"/>
  <c r="C14" i="19" a="1"/>
  <c r="C14" i="19" s="1"/>
  <c r="C12" i="19" a="1"/>
  <c r="C12" i="19" s="1"/>
  <c r="D8" i="19"/>
  <c r="C11" i="19"/>
  <c r="C18" i="19" a="1"/>
  <c r="C18" i="19" s="1"/>
  <c r="F9" i="39" l="1"/>
  <c r="F14" i="39" s="1"/>
  <c r="F51" i="39" s="1"/>
  <c r="E13" i="39"/>
  <c r="E52" i="39" s="1"/>
  <c r="E65" i="36"/>
  <c r="E66" i="36" s="1" a="1"/>
  <c r="E66" i="36" s="1"/>
  <c r="E64" i="36"/>
  <c r="E48" i="35"/>
  <c r="O31" i="32"/>
  <c r="H12" i="32" s="1"/>
  <c r="C12" i="36" a="1"/>
  <c r="C12" i="36" s="1"/>
  <c r="C30" i="36" a="1"/>
  <c r="C30" i="36" s="1"/>
  <c r="E53" i="36"/>
  <c r="E54" i="36" s="1" a="1"/>
  <c r="E54" i="36" s="1"/>
  <c r="F50" i="36"/>
  <c r="F52" i="36" s="1"/>
  <c r="D11" i="36"/>
  <c r="E8" i="36"/>
  <c r="D10" i="36"/>
  <c r="D70" i="36"/>
  <c r="D71" i="36"/>
  <c r="D72" i="36" s="1" a="1"/>
  <c r="D72" i="36" s="1"/>
  <c r="E68" i="36"/>
  <c r="D76" i="36"/>
  <c r="E74" i="36"/>
  <c r="D77" i="36"/>
  <c r="D78" i="36" s="1" a="1"/>
  <c r="D78" i="36" s="1"/>
  <c r="D22" i="36"/>
  <c r="E20" i="36"/>
  <c r="D23" i="36"/>
  <c r="D24" i="36" s="1" a="1"/>
  <c r="D24" i="36" s="1"/>
  <c r="E44" i="36"/>
  <c r="D46" i="36"/>
  <c r="D47" i="36"/>
  <c r="D48" i="36" s="1" a="1"/>
  <c r="D48" i="36" s="1"/>
  <c r="G62" i="36"/>
  <c r="F65" i="36"/>
  <c r="F66" i="36" s="1" a="1"/>
  <c r="F66" i="36" s="1"/>
  <c r="F64" i="36"/>
  <c r="E56" i="36"/>
  <c r="D59" i="36"/>
  <c r="D60" i="36" s="1" a="1"/>
  <c r="D60" i="36" s="1"/>
  <c r="D58" i="36"/>
  <c r="E34" i="36"/>
  <c r="F32" i="36"/>
  <c r="E35" i="36"/>
  <c r="E36" i="36" s="1" a="1"/>
  <c r="E36" i="36" s="1"/>
  <c r="D18" i="36" a="1"/>
  <c r="D18" i="36" s="1"/>
  <c r="D17" i="36"/>
  <c r="E14" i="36"/>
  <c r="D16" i="36"/>
  <c r="E28" i="36"/>
  <c r="F26" i="36"/>
  <c r="E29" i="36"/>
  <c r="E38" i="36"/>
  <c r="D41" i="36"/>
  <c r="D42" i="36" s="1" a="1"/>
  <c r="D42" i="36" s="1"/>
  <c r="D40" i="36"/>
  <c r="D52" i="35" a="1"/>
  <c r="D52" i="35" s="1"/>
  <c r="D50" i="35"/>
  <c r="D20" i="35"/>
  <c r="D21" i="35"/>
  <c r="E18" i="35"/>
  <c r="D41" i="35"/>
  <c r="D42" i="35" a="1"/>
  <c r="D42" i="35" s="1"/>
  <c r="E38" i="35"/>
  <c r="D40" i="35"/>
  <c r="D56" i="35"/>
  <c r="D55" i="35"/>
  <c r="E53" i="35"/>
  <c r="D57" i="35" a="1"/>
  <c r="D57" i="35" s="1"/>
  <c r="E63" i="35"/>
  <c r="D66" i="35"/>
  <c r="D67" i="35" a="1"/>
  <c r="D67" i="35" s="1"/>
  <c r="D65" i="35"/>
  <c r="D31" i="35"/>
  <c r="D30" i="35"/>
  <c r="D32" i="35" a="1"/>
  <c r="D32" i="35" s="1"/>
  <c r="E28" i="35"/>
  <c r="E15" i="35"/>
  <c r="F13" i="35"/>
  <c r="E17" i="35" a="1"/>
  <c r="E17" i="35" s="1"/>
  <c r="E16" i="35"/>
  <c r="F43" i="35"/>
  <c r="E46" i="35"/>
  <c r="E47" i="35" a="1"/>
  <c r="E47" i="35" s="1"/>
  <c r="E45" i="35"/>
  <c r="D36" i="35"/>
  <c r="D35" i="35"/>
  <c r="D37" i="35" a="1"/>
  <c r="D37" i="35" s="1"/>
  <c r="E33" i="35"/>
  <c r="F48" i="35"/>
  <c r="E51" i="35"/>
  <c r="E52" i="35" a="1"/>
  <c r="E52" i="35" s="1"/>
  <c r="E50" i="35"/>
  <c r="E58" i="35"/>
  <c r="D61" i="35"/>
  <c r="D60" i="35"/>
  <c r="D62" i="35" a="1"/>
  <c r="D62" i="35" s="1"/>
  <c r="E26" i="35"/>
  <c r="E27" i="35" a="1"/>
  <c r="E27" i="35" s="1"/>
  <c r="E25" i="35"/>
  <c r="F23" i="35"/>
  <c r="E12" i="35" a="1"/>
  <c r="E12" i="35" s="1"/>
  <c r="E11" i="35"/>
  <c r="E10" i="35"/>
  <c r="F8" i="35"/>
  <c r="O32" i="32"/>
  <c r="E14" i="32" s="1"/>
  <c r="O29" i="32"/>
  <c r="N12" i="32" s="1"/>
  <c r="O30" i="32"/>
  <c r="E12" i="32" s="1"/>
  <c r="O35" i="32"/>
  <c r="K14" i="32" s="1"/>
  <c r="O34" i="32"/>
  <c r="K12" i="32" s="1"/>
  <c r="H14" i="32"/>
  <c r="C40" i="20" a="1"/>
  <c r="C40" i="20" s="1"/>
  <c r="C36" i="20" a="1"/>
  <c r="C36" i="20" s="1"/>
  <c r="C34" i="20" a="1"/>
  <c r="C34" i="20" s="1"/>
  <c r="C30" i="20" a="1"/>
  <c r="C30" i="20" s="1"/>
  <c r="C38" i="20" a="1"/>
  <c r="C38" i="20" s="1"/>
  <c r="C32" i="20" a="1"/>
  <c r="C32" i="20" s="1"/>
  <c r="C22" i="20" a="1"/>
  <c r="C22" i="20" s="1"/>
  <c r="C18" i="20" a="1"/>
  <c r="C18" i="20" s="1"/>
  <c r="C26" i="20" a="1"/>
  <c r="C26" i="20" s="1"/>
  <c r="C24" i="20" a="1"/>
  <c r="C24" i="20" s="1"/>
  <c r="C20" i="20" a="1"/>
  <c r="C20" i="20" s="1"/>
  <c r="C28" i="20" a="1"/>
  <c r="C28" i="20" s="1"/>
  <c r="C12" i="20" a="1"/>
  <c r="C12" i="20" s="1"/>
  <c r="C14" i="20" a="1"/>
  <c r="C14" i="20" s="1"/>
  <c r="C16" i="20" a="1"/>
  <c r="C16" i="20" s="1"/>
  <c r="D10" i="20"/>
  <c r="E8" i="20"/>
  <c r="D11" i="20"/>
  <c r="D40" i="19" a="1"/>
  <c r="D40" i="19" s="1"/>
  <c r="D32" i="19" a="1"/>
  <c r="D32" i="19" s="1"/>
  <c r="D34" i="19" a="1"/>
  <c r="D34" i="19" s="1"/>
  <c r="D26" i="19" a="1"/>
  <c r="D26" i="19" s="1"/>
  <c r="D36" i="19" a="1"/>
  <c r="D36" i="19" s="1"/>
  <c r="D22" i="19" a="1"/>
  <c r="D22" i="19" s="1"/>
  <c r="D18" i="19" a="1"/>
  <c r="D18" i="19" s="1"/>
  <c r="D24" i="19" a="1"/>
  <c r="D24" i="19" s="1"/>
  <c r="D12" i="19" a="1"/>
  <c r="D12" i="19" s="1"/>
  <c r="D11" i="19"/>
  <c r="D30" i="19" a="1"/>
  <c r="D30" i="19" s="1"/>
  <c r="D20" i="19" a="1"/>
  <c r="D20" i="19" s="1"/>
  <c r="E8" i="19"/>
  <c r="D28" i="19" a="1"/>
  <c r="D28" i="19" s="1"/>
  <c r="D14" i="19" a="1"/>
  <c r="D14" i="19" s="1"/>
  <c r="D38" i="19" a="1"/>
  <c r="D38" i="19" s="1"/>
  <c r="D16" i="19" a="1"/>
  <c r="D16" i="19" s="1"/>
  <c r="D10" i="19"/>
  <c r="B8" i="8"/>
  <c r="B9" i="8" s="1"/>
  <c r="J10" i="1"/>
  <c r="B61" i="12"/>
  <c r="B74" i="12"/>
  <c r="C74" i="12" s="1"/>
  <c r="B68" i="12"/>
  <c r="C68" i="12" s="1"/>
  <c r="B62" i="12"/>
  <c r="B63" i="12" s="1"/>
  <c r="B56" i="12"/>
  <c r="B57" i="12" s="1"/>
  <c r="B50" i="12"/>
  <c r="B51" i="12" s="1"/>
  <c r="B44" i="12"/>
  <c r="B45" i="12" s="1"/>
  <c r="B38" i="12"/>
  <c r="B39" i="12" s="1"/>
  <c r="B32" i="12"/>
  <c r="B33" i="12" s="1"/>
  <c r="B26" i="12"/>
  <c r="B27" i="12" s="1"/>
  <c r="B20" i="12"/>
  <c r="B21" i="12" s="1"/>
  <c r="B14" i="12"/>
  <c r="B15" i="12" s="1"/>
  <c r="B8" i="12"/>
  <c r="B9" i="12" s="1"/>
  <c r="B63" i="8"/>
  <c r="B64" i="8" s="1"/>
  <c r="B58" i="8"/>
  <c r="B59" i="8" s="1"/>
  <c r="B53" i="8"/>
  <c r="B54" i="8" s="1"/>
  <c r="B48" i="8"/>
  <c r="B49" i="8" s="1"/>
  <c r="B43" i="8"/>
  <c r="B44" i="8" s="1"/>
  <c r="B38" i="8"/>
  <c r="B39" i="8" s="1"/>
  <c r="B33" i="8"/>
  <c r="B34" i="8" s="1"/>
  <c r="B28" i="8"/>
  <c r="C28" i="8" s="1"/>
  <c r="B23" i="8"/>
  <c r="B24" i="8" s="1"/>
  <c r="B18" i="8"/>
  <c r="B19" i="8" s="1"/>
  <c r="B13" i="8"/>
  <c r="B14" i="8" s="1"/>
  <c r="G9" i="39" l="1"/>
  <c r="G14" i="39" s="1"/>
  <c r="G51" i="39" s="1"/>
  <c r="F13" i="39"/>
  <c r="F52" i="39" s="1"/>
  <c r="F53" i="36"/>
  <c r="F54" i="36" s="1" a="1"/>
  <c r="F54" i="36" s="1"/>
  <c r="G50" i="36"/>
  <c r="G53" i="36" s="1"/>
  <c r="G54" i="36" s="1" a="1"/>
  <c r="G54" i="36" s="1"/>
  <c r="D12" i="36" a="1"/>
  <c r="D12" i="36" s="1"/>
  <c r="D30" i="36" a="1"/>
  <c r="D30" i="36" s="1"/>
  <c r="E11" i="36"/>
  <c r="F8" i="36"/>
  <c r="E10" i="36"/>
  <c r="F20" i="36"/>
  <c r="E23" i="36"/>
  <c r="E24" i="36" s="1" a="1"/>
  <c r="E24" i="36" s="1"/>
  <c r="E22" i="36"/>
  <c r="G26" i="36"/>
  <c r="F29" i="36"/>
  <c r="F28" i="36"/>
  <c r="E41" i="36"/>
  <c r="E42" i="36" s="1" a="1"/>
  <c r="E42" i="36" s="1"/>
  <c r="E40" i="36"/>
  <c r="F38" i="36"/>
  <c r="E17" i="36"/>
  <c r="F14" i="36"/>
  <c r="E16" i="36"/>
  <c r="E18" i="36" a="1"/>
  <c r="E18" i="36" s="1"/>
  <c r="E59" i="36"/>
  <c r="E60" i="36" s="1" a="1"/>
  <c r="E60" i="36" s="1"/>
  <c r="E58" i="36"/>
  <c r="F56" i="36"/>
  <c r="G65" i="36"/>
  <c r="G66" i="36" s="1" a="1"/>
  <c r="G66" i="36" s="1"/>
  <c r="H62" i="36"/>
  <c r="G64" i="36"/>
  <c r="E47" i="36"/>
  <c r="E48" i="36" s="1" a="1"/>
  <c r="E48" i="36" s="1"/>
  <c r="E46" i="36"/>
  <c r="F44" i="36"/>
  <c r="G32" i="36"/>
  <c r="F35" i="36"/>
  <c r="F36" i="36" s="1" a="1"/>
  <c r="F36" i="36" s="1"/>
  <c r="F34" i="36"/>
  <c r="E77" i="36"/>
  <c r="E78" i="36" s="1" a="1"/>
  <c r="E78" i="36" s="1"/>
  <c r="F74" i="36"/>
  <c r="E76" i="36"/>
  <c r="E70" i="36"/>
  <c r="F68" i="36"/>
  <c r="E71" i="36"/>
  <c r="E72" i="36" s="1" a="1"/>
  <c r="E72" i="36" s="1"/>
  <c r="E22" i="35" a="1"/>
  <c r="E22" i="35" s="1"/>
  <c r="E20" i="35"/>
  <c r="F18" i="35"/>
  <c r="E21" i="35"/>
  <c r="E41" i="35"/>
  <c r="E42" i="35" a="1"/>
  <c r="E42" i="35" s="1"/>
  <c r="F38" i="35"/>
  <c r="E40" i="35"/>
  <c r="E61" i="35"/>
  <c r="E62" i="35" a="1"/>
  <c r="E62" i="35" s="1"/>
  <c r="E60" i="35"/>
  <c r="F58" i="35"/>
  <c r="F52" i="35" a="1"/>
  <c r="F52" i="35" s="1"/>
  <c r="F51" i="35"/>
  <c r="F50" i="35"/>
  <c r="G48" i="35"/>
  <c r="F47" i="35" a="1"/>
  <c r="F47" i="35" s="1"/>
  <c r="F46" i="35"/>
  <c r="F45" i="35"/>
  <c r="G43" i="35"/>
  <c r="E31" i="35"/>
  <c r="E32" i="35" a="1"/>
  <c r="E32" i="35" s="1"/>
  <c r="E30" i="35"/>
  <c r="F28" i="35"/>
  <c r="F25" i="35"/>
  <c r="F27" i="35" a="1"/>
  <c r="F27" i="35" s="1"/>
  <c r="G23" i="35"/>
  <c r="F26" i="35"/>
  <c r="E37" i="35" a="1"/>
  <c r="E37" i="35" s="1"/>
  <c r="E35" i="35"/>
  <c r="F33" i="35"/>
  <c r="E36" i="35"/>
  <c r="E66" i="35"/>
  <c r="E67" i="35" a="1"/>
  <c r="E67" i="35" s="1"/>
  <c r="E65" i="35"/>
  <c r="F63" i="35"/>
  <c r="F11" i="35"/>
  <c r="F10" i="35"/>
  <c r="G8" i="35"/>
  <c r="F12" i="35" a="1"/>
  <c r="F12" i="35" s="1"/>
  <c r="F17" i="35" a="1"/>
  <c r="F17" i="35" s="1"/>
  <c r="F16" i="35"/>
  <c r="F15" i="35"/>
  <c r="G13" i="35"/>
  <c r="E57" i="35" a="1"/>
  <c r="E57" i="35" s="1"/>
  <c r="E55" i="35"/>
  <c r="E56" i="35"/>
  <c r="F53" i="35"/>
  <c r="D40" i="20" a="1"/>
  <c r="D40" i="20" s="1"/>
  <c r="D30" i="20" a="1"/>
  <c r="D30" i="20" s="1"/>
  <c r="D26" i="20" a="1"/>
  <c r="D26" i="20" s="1"/>
  <c r="D38" i="20" a="1"/>
  <c r="D38" i="20" s="1"/>
  <c r="D34" i="20" a="1"/>
  <c r="D34" i="20" s="1"/>
  <c r="D32" i="20" a="1"/>
  <c r="D32" i="20" s="1"/>
  <c r="D28" i="20" a="1"/>
  <c r="D28" i="20" s="1"/>
  <c r="D20" i="20" a="1"/>
  <c r="D20" i="20" s="1"/>
  <c r="D36" i="20" a="1"/>
  <c r="D36" i="20" s="1"/>
  <c r="D24" i="20" a="1"/>
  <c r="D24" i="20" s="1"/>
  <c r="D22" i="20" a="1"/>
  <c r="D22" i="20" s="1"/>
  <c r="D18" i="20" a="1"/>
  <c r="D18" i="20" s="1"/>
  <c r="D16" i="20" a="1"/>
  <c r="D16" i="20" s="1"/>
  <c r="D14" i="20" a="1"/>
  <c r="D14" i="20" s="1"/>
  <c r="D12" i="20" a="1"/>
  <c r="D12" i="20" s="1"/>
  <c r="E11" i="20"/>
  <c r="F8" i="20"/>
  <c r="E10" i="20"/>
  <c r="E36" i="19" a="1"/>
  <c r="E36" i="19" s="1"/>
  <c r="E30" i="19" a="1"/>
  <c r="E30" i="19" s="1"/>
  <c r="E22" i="19" a="1"/>
  <c r="E22" i="19" s="1"/>
  <c r="E38" i="19" a="1"/>
  <c r="E38" i="19" s="1"/>
  <c r="E40" i="19" a="1"/>
  <c r="E40" i="19" s="1"/>
  <c r="E32" i="19" a="1"/>
  <c r="E32" i="19" s="1"/>
  <c r="E26" i="19" a="1"/>
  <c r="E26" i="19" s="1"/>
  <c r="E20" i="19" a="1"/>
  <c r="E20" i="19" s="1"/>
  <c r="E16" i="19" a="1"/>
  <c r="E16" i="19" s="1"/>
  <c r="E28" i="19" a="1"/>
  <c r="E28" i="19" s="1"/>
  <c r="E34" i="19" a="1"/>
  <c r="E34" i="19" s="1"/>
  <c r="E12" i="19" a="1"/>
  <c r="E12" i="19" s="1"/>
  <c r="E10" i="19"/>
  <c r="E24" i="19" a="1"/>
  <c r="E24" i="19" s="1"/>
  <c r="E18" i="19" a="1"/>
  <c r="E18" i="19" s="1"/>
  <c r="E14" i="19" a="1"/>
  <c r="E14" i="19" s="1"/>
  <c r="E11" i="19"/>
  <c r="F8" i="19"/>
  <c r="C62" i="12"/>
  <c r="C66" i="12" s="1" a="1"/>
  <c r="C66" i="12" s="1"/>
  <c r="C50" i="12"/>
  <c r="C52" i="12" s="1"/>
  <c r="C38" i="12"/>
  <c r="C42" i="12" s="1" a="1"/>
  <c r="C42" i="12" s="1"/>
  <c r="C14" i="12"/>
  <c r="C16" i="12" s="1"/>
  <c r="C26" i="12"/>
  <c r="C28" i="12" s="1"/>
  <c r="C8" i="12"/>
  <c r="C12" i="12" s="1" a="1"/>
  <c r="C12" i="12" s="1"/>
  <c r="C20" i="12"/>
  <c r="D20" i="12" s="1"/>
  <c r="C32" i="12"/>
  <c r="D32" i="12" s="1"/>
  <c r="C44" i="12"/>
  <c r="D44" i="12" s="1"/>
  <c r="C56" i="12"/>
  <c r="C58" i="12" s="1"/>
  <c r="B75" i="12"/>
  <c r="D74" i="12" s="1"/>
  <c r="C72" i="12" a="1"/>
  <c r="C72" i="12" s="1"/>
  <c r="C71" i="12"/>
  <c r="C70" i="12"/>
  <c r="B69" i="12"/>
  <c r="D68" i="12" s="1"/>
  <c r="C78" i="12" a="1"/>
  <c r="C78" i="12" s="1"/>
  <c r="C77" i="12"/>
  <c r="C76" i="12"/>
  <c r="C18" i="8"/>
  <c r="D18" i="8" s="1"/>
  <c r="D21" i="8" s="1"/>
  <c r="D22" i="8" s="1" a="1"/>
  <c r="D22" i="8" s="1"/>
  <c r="C58" i="8"/>
  <c r="C61" i="8" s="1"/>
  <c r="C62" i="8" s="1" a="1"/>
  <c r="C62" i="8" s="1"/>
  <c r="C48" i="8"/>
  <c r="C50" i="8" s="1"/>
  <c r="C43" i="8"/>
  <c r="D43" i="8" s="1"/>
  <c r="C8" i="8"/>
  <c r="C53" i="8"/>
  <c r="C55" i="8" s="1"/>
  <c r="C23" i="8"/>
  <c r="C26" i="8" s="1"/>
  <c r="C27" i="8" s="1" a="1"/>
  <c r="C27" i="8" s="1"/>
  <c r="C38" i="8"/>
  <c r="C40" i="8" s="1"/>
  <c r="C63" i="8"/>
  <c r="D63" i="8" s="1"/>
  <c r="C13" i="8"/>
  <c r="C30" i="8"/>
  <c r="C31" i="8"/>
  <c r="C32" i="8" s="1" a="1"/>
  <c r="C32" i="8" s="1"/>
  <c r="C33" i="8"/>
  <c r="B29" i="8"/>
  <c r="D28" i="8" s="1"/>
  <c r="H50" i="36" l="1"/>
  <c r="G52" i="36"/>
  <c r="H9" i="39"/>
  <c r="H14" i="39" s="1"/>
  <c r="H51" i="39" s="1"/>
  <c r="G13" i="39"/>
  <c r="G52" i="39" s="1"/>
  <c r="E12" i="36" a="1"/>
  <c r="E12" i="36" s="1"/>
  <c r="E30" i="36" a="1"/>
  <c r="E30" i="36" s="1"/>
  <c r="G35" i="36"/>
  <c r="G36" i="36" s="1" a="1"/>
  <c r="G36" i="36" s="1"/>
  <c r="G34" i="36"/>
  <c r="H32" i="36"/>
  <c r="G68" i="36"/>
  <c r="F71" i="36"/>
  <c r="F72" i="36" s="1" a="1"/>
  <c r="F72" i="36" s="1"/>
  <c r="F70" i="36"/>
  <c r="F77" i="36"/>
  <c r="F78" i="36" s="1" a="1"/>
  <c r="F78" i="36" s="1"/>
  <c r="G74" i="36"/>
  <c r="F76" i="36"/>
  <c r="H52" i="36"/>
  <c r="H53" i="36"/>
  <c r="H54" i="36" s="1" a="1"/>
  <c r="H54" i="36" s="1"/>
  <c r="I50" i="36"/>
  <c r="F58" i="36"/>
  <c r="F59" i="36"/>
  <c r="F60" i="36" s="1" a="1"/>
  <c r="F60" i="36" s="1"/>
  <c r="G56" i="36"/>
  <c r="F47" i="36"/>
  <c r="F48" i="36" s="1" a="1"/>
  <c r="F48" i="36" s="1"/>
  <c r="F46" i="36"/>
  <c r="G44" i="36"/>
  <c r="H64" i="36"/>
  <c r="H65" i="36"/>
  <c r="H66" i="36" s="1" a="1"/>
  <c r="H66" i="36" s="1"/>
  <c r="I62" i="36"/>
  <c r="F40" i="36"/>
  <c r="G38" i="36"/>
  <c r="F41" i="36"/>
  <c r="F42" i="36" s="1" a="1"/>
  <c r="F42" i="36" s="1"/>
  <c r="F23" i="36"/>
  <c r="F24" i="36" s="1" a="1"/>
  <c r="F24" i="36" s="1"/>
  <c r="F22" i="36"/>
  <c r="G20" i="36"/>
  <c r="F11" i="36"/>
  <c r="G8" i="36"/>
  <c r="F10" i="36"/>
  <c r="G29" i="36"/>
  <c r="G28" i="36"/>
  <c r="H26" i="36"/>
  <c r="F16" i="36"/>
  <c r="F18" i="36" a="1"/>
  <c r="F18" i="36" s="1"/>
  <c r="F17" i="36"/>
  <c r="G14" i="36"/>
  <c r="C40" i="12"/>
  <c r="D38" i="12"/>
  <c r="D42" i="12" s="1" a="1"/>
  <c r="D42" i="12" s="1"/>
  <c r="F21" i="35"/>
  <c r="G18" i="35"/>
  <c r="F22" i="35" a="1"/>
  <c r="F22" i="35" s="1"/>
  <c r="F20" i="35"/>
  <c r="G38" i="35"/>
  <c r="F41" i="35"/>
  <c r="F42" i="35" a="1"/>
  <c r="F42" i="35" s="1"/>
  <c r="F40" i="35"/>
  <c r="G12" i="35" a="1"/>
  <c r="G12" i="35" s="1"/>
  <c r="G11" i="35"/>
  <c r="G10" i="35"/>
  <c r="H8" i="35"/>
  <c r="F65" i="35"/>
  <c r="G63" i="35"/>
  <c r="F66" i="35"/>
  <c r="F67" i="35" a="1"/>
  <c r="F67" i="35" s="1"/>
  <c r="G33" i="35"/>
  <c r="F37" i="35" a="1"/>
  <c r="F37" i="35" s="1"/>
  <c r="F36" i="35"/>
  <c r="F35" i="35"/>
  <c r="F30" i="35"/>
  <c r="F32" i="35" a="1"/>
  <c r="F32" i="35" s="1"/>
  <c r="G28" i="35"/>
  <c r="F31" i="35"/>
  <c r="G45" i="35"/>
  <c r="G47" i="35" a="1"/>
  <c r="G47" i="35" s="1"/>
  <c r="H43" i="35"/>
  <c r="G46" i="35"/>
  <c r="G50" i="35"/>
  <c r="G52" i="35" a="1"/>
  <c r="G52" i="35" s="1"/>
  <c r="H48" i="35"/>
  <c r="G51" i="35"/>
  <c r="F60" i="35"/>
  <c r="F62" i="35" a="1"/>
  <c r="F62" i="35" s="1"/>
  <c r="F61" i="35"/>
  <c r="G58" i="35"/>
  <c r="F56" i="35"/>
  <c r="F55" i="35"/>
  <c r="G53" i="35"/>
  <c r="F57" i="35" a="1"/>
  <c r="F57" i="35" s="1"/>
  <c r="G16" i="35"/>
  <c r="G15" i="35"/>
  <c r="H13" i="35"/>
  <c r="G17" i="35" a="1"/>
  <c r="G17" i="35" s="1"/>
  <c r="G27" i="35" a="1"/>
  <c r="G27" i="35" s="1"/>
  <c r="H23" i="35"/>
  <c r="G26" i="35"/>
  <c r="G25" i="35"/>
  <c r="C53" i="12"/>
  <c r="C29" i="12"/>
  <c r="C66" i="8"/>
  <c r="C67" i="8" s="1" a="1"/>
  <c r="C67" i="8" s="1"/>
  <c r="C46" i="12"/>
  <c r="C21" i="8"/>
  <c r="C22" i="8" s="1" a="1"/>
  <c r="C22" i="8" s="1"/>
  <c r="D20" i="8"/>
  <c r="D14" i="12"/>
  <c r="D16" i="12" s="1"/>
  <c r="C24" i="12" a="1"/>
  <c r="C24" i="12" s="1"/>
  <c r="D62" i="12"/>
  <c r="D66" i="12" s="1" a="1"/>
  <c r="D66" i="12" s="1"/>
  <c r="E18" i="8"/>
  <c r="E20" i="8" s="1"/>
  <c r="C64" i="12"/>
  <c r="C25" i="8"/>
  <c r="C35" i="12"/>
  <c r="C65" i="12"/>
  <c r="E36" i="20" a="1"/>
  <c r="E36" i="20" s="1"/>
  <c r="E40" i="20" a="1"/>
  <c r="E40" i="20" s="1"/>
  <c r="E30" i="20" a="1"/>
  <c r="E30" i="20" s="1"/>
  <c r="E38" i="20" a="1"/>
  <c r="E38" i="20" s="1"/>
  <c r="E28" i="20" a="1"/>
  <c r="E28" i="20" s="1"/>
  <c r="E26" i="20" a="1"/>
  <c r="E26" i="20" s="1"/>
  <c r="E22" i="20" a="1"/>
  <c r="E22" i="20" s="1"/>
  <c r="E18" i="20" a="1"/>
  <c r="E18" i="20" s="1"/>
  <c r="E32" i="20" a="1"/>
  <c r="E32" i="20" s="1"/>
  <c r="E34" i="20" a="1"/>
  <c r="E34" i="20" s="1"/>
  <c r="E20" i="20" a="1"/>
  <c r="E20" i="20" s="1"/>
  <c r="E24" i="20" a="1"/>
  <c r="E24" i="20" s="1"/>
  <c r="E12" i="20" a="1"/>
  <c r="E12" i="20" s="1"/>
  <c r="E14" i="20" a="1"/>
  <c r="E14" i="20" s="1"/>
  <c r="E16" i="20" a="1"/>
  <c r="E16" i="20" s="1"/>
  <c r="F10" i="20"/>
  <c r="F11" i="20"/>
  <c r="G8" i="20"/>
  <c r="C36" i="12" a="1"/>
  <c r="C36" i="12" s="1"/>
  <c r="C17" i="12"/>
  <c r="C54" i="12" a="1"/>
  <c r="C54" i="12" s="1"/>
  <c r="C41" i="12"/>
  <c r="C30" i="12" a="1"/>
  <c r="C30" i="12" s="1"/>
  <c r="C59" i="12"/>
  <c r="D50" i="12"/>
  <c r="E50" i="12" s="1"/>
  <c r="D26" i="12"/>
  <c r="E26" i="12" s="1"/>
  <c r="C22" i="12"/>
  <c r="C23" i="12"/>
  <c r="F40" i="19" a="1"/>
  <c r="F40" i="19" s="1"/>
  <c r="F32" i="19" a="1"/>
  <c r="F32" i="19" s="1"/>
  <c r="F38" i="19" a="1"/>
  <c r="F38" i="19" s="1"/>
  <c r="F26" i="19" a="1"/>
  <c r="F26" i="19" s="1"/>
  <c r="F34" i="19" a="1"/>
  <c r="F34" i="19" s="1"/>
  <c r="F36" i="19" a="1"/>
  <c r="F36" i="19" s="1"/>
  <c r="F30" i="19" a="1"/>
  <c r="F30" i="19" s="1"/>
  <c r="F28" i="19" a="1"/>
  <c r="F28" i="19" s="1"/>
  <c r="F18" i="19" a="1"/>
  <c r="F18" i="19" s="1"/>
  <c r="F22" i="19" a="1"/>
  <c r="F22" i="19" s="1"/>
  <c r="F12" i="19" a="1"/>
  <c r="F12" i="19" s="1"/>
  <c r="G8" i="19"/>
  <c r="F24" i="19" a="1"/>
  <c r="F24" i="19" s="1"/>
  <c r="F11" i="19"/>
  <c r="F10" i="19"/>
  <c r="F20" i="19" a="1"/>
  <c r="F20" i="19" s="1"/>
  <c r="F16" i="19" a="1"/>
  <c r="F16" i="19" s="1"/>
  <c r="F14" i="19" a="1"/>
  <c r="F14" i="19" s="1"/>
  <c r="C47" i="12"/>
  <c r="C48" i="12" a="1"/>
  <c r="C48" i="12" s="1"/>
  <c r="D8" i="8"/>
  <c r="E8" i="8" s="1"/>
  <c r="C10" i="8"/>
  <c r="C11" i="8"/>
  <c r="C12" i="8" s="1" a="1"/>
  <c r="C12" i="8" s="1"/>
  <c r="C51" i="8"/>
  <c r="C52" i="8" s="1" a="1"/>
  <c r="C52" i="8" s="1"/>
  <c r="C20" i="8"/>
  <c r="C34" i="12"/>
  <c r="C18" i="12" a="1"/>
  <c r="C18" i="12" s="1"/>
  <c r="D56" i="12"/>
  <c r="E56" i="12" s="1"/>
  <c r="C60" i="12" a="1"/>
  <c r="C60" i="12" s="1"/>
  <c r="D58" i="8"/>
  <c r="D61" i="8" s="1"/>
  <c r="D62" i="8" s="1" a="1"/>
  <c r="D62" i="8" s="1"/>
  <c r="D48" i="8"/>
  <c r="E48" i="8" s="1"/>
  <c r="D23" i="8"/>
  <c r="E23" i="8" s="1"/>
  <c r="C56" i="8"/>
  <c r="C57" i="8" s="1" a="1"/>
  <c r="C57" i="8" s="1"/>
  <c r="C60" i="8"/>
  <c r="D53" i="8"/>
  <c r="D55" i="8" s="1"/>
  <c r="C10" i="12"/>
  <c r="C11" i="12"/>
  <c r="D8" i="12"/>
  <c r="D71" i="12"/>
  <c r="D70" i="12"/>
  <c r="E68" i="12"/>
  <c r="D72" i="12" a="1"/>
  <c r="D72" i="12" s="1"/>
  <c r="D77" i="12"/>
  <c r="D76" i="12"/>
  <c r="E74" i="12"/>
  <c r="D78" i="12" a="1"/>
  <c r="D78" i="12" s="1"/>
  <c r="D48" i="12" a="1"/>
  <c r="D48" i="12" s="1"/>
  <c r="D47" i="12"/>
  <c r="D46" i="12"/>
  <c r="E44" i="12"/>
  <c r="D36" i="12" a="1"/>
  <c r="D36" i="12" s="1"/>
  <c r="D35" i="12"/>
  <c r="D34" i="12"/>
  <c r="E32" i="12"/>
  <c r="D23" i="12"/>
  <c r="D22" i="12"/>
  <c r="E20" i="12"/>
  <c r="D24" i="12" a="1"/>
  <c r="D24" i="12" s="1"/>
  <c r="C45" i="8"/>
  <c r="C46" i="8"/>
  <c r="C47" i="8" s="1" a="1"/>
  <c r="C47" i="8" s="1"/>
  <c r="C65" i="8"/>
  <c r="C41" i="8"/>
  <c r="C42" i="8" s="1" a="1"/>
  <c r="C42" i="8" s="1"/>
  <c r="D38" i="8"/>
  <c r="D31" i="8"/>
  <c r="D32" i="8" s="1" a="1"/>
  <c r="D32" i="8" s="1"/>
  <c r="E28" i="8"/>
  <c r="D30" i="8"/>
  <c r="E43" i="8"/>
  <c r="D45" i="8"/>
  <c r="D46" i="8"/>
  <c r="D47" i="8" s="1" a="1"/>
  <c r="D47" i="8" s="1"/>
  <c r="C36" i="8"/>
  <c r="C37" i="8" s="1" a="1"/>
  <c r="C37" i="8" s="1"/>
  <c r="D33" i="8"/>
  <c r="C35" i="8"/>
  <c r="E63" i="8"/>
  <c r="D65" i="8"/>
  <c r="D66" i="8"/>
  <c r="D67" i="8" s="1" a="1"/>
  <c r="D67" i="8" s="1"/>
  <c r="C16" i="8"/>
  <c r="C17" i="8" s="1" a="1"/>
  <c r="C17" i="8" s="1"/>
  <c r="D13" i="8"/>
  <c r="C15" i="8"/>
  <c r="E58" i="8" l="1"/>
  <c r="E38" i="12"/>
  <c r="D41" i="12"/>
  <c r="D40" i="12"/>
  <c r="I9" i="39"/>
  <c r="I14" i="39" s="1"/>
  <c r="I51" i="39" s="1"/>
  <c r="H13" i="39"/>
  <c r="H52" i="39" s="1"/>
  <c r="D17" i="12"/>
  <c r="D29" i="12"/>
  <c r="D28" i="12"/>
  <c r="F12" i="36" a="1"/>
  <c r="F12" i="36" s="1"/>
  <c r="F30" i="36" a="1"/>
  <c r="F30" i="36" s="1"/>
  <c r="H28" i="36"/>
  <c r="I26" i="36"/>
  <c r="H29" i="36"/>
  <c r="G22" i="36"/>
  <c r="H20" i="36"/>
  <c r="G23" i="36"/>
  <c r="G24" i="36" s="1" a="1"/>
  <c r="G24" i="36" s="1"/>
  <c r="G40" i="36"/>
  <c r="H38" i="36"/>
  <c r="G41" i="36"/>
  <c r="G42" i="36" s="1" a="1"/>
  <c r="G42" i="36" s="1"/>
  <c r="G77" i="36"/>
  <c r="G78" i="36" s="1" a="1"/>
  <c r="G78" i="36" s="1"/>
  <c r="G76" i="36"/>
  <c r="H74" i="36"/>
  <c r="I64" i="36"/>
  <c r="I65" i="36"/>
  <c r="I66" i="36" s="1" a="1"/>
  <c r="I66" i="36" s="1"/>
  <c r="J62" i="36"/>
  <c r="G46" i="36"/>
  <c r="G47" i="36"/>
  <c r="G48" i="36" s="1" a="1"/>
  <c r="G48" i="36" s="1"/>
  <c r="H44" i="36"/>
  <c r="G58" i="36"/>
  <c r="H56" i="36"/>
  <c r="G59" i="36"/>
  <c r="G60" i="36" s="1" a="1"/>
  <c r="G60" i="36" s="1"/>
  <c r="I52" i="36"/>
  <c r="J50" i="36"/>
  <c r="I53" i="36"/>
  <c r="I54" i="36" s="1" a="1"/>
  <c r="I54" i="36" s="1"/>
  <c r="G71" i="36"/>
  <c r="G72" i="36" s="1" a="1"/>
  <c r="G72" i="36" s="1"/>
  <c r="G70" i="36"/>
  <c r="H68" i="36"/>
  <c r="G17" i="36"/>
  <c r="H14" i="36"/>
  <c r="G18" i="36" a="1"/>
  <c r="G18" i="36" s="1"/>
  <c r="G16" i="36"/>
  <c r="G10" i="36"/>
  <c r="G11" i="36"/>
  <c r="H8" i="36"/>
  <c r="H34" i="36"/>
  <c r="I32" i="36"/>
  <c r="H35" i="36"/>
  <c r="H36" i="36" s="1" a="1"/>
  <c r="H36" i="36" s="1"/>
  <c r="D52" i="12"/>
  <c r="E14" i="12"/>
  <c r="E18" i="12" s="1" a="1"/>
  <c r="E18" i="12" s="1"/>
  <c r="G20" i="35"/>
  <c r="G22" i="35" a="1"/>
  <c r="G22" i="35" s="1"/>
  <c r="H18" i="35"/>
  <c r="G21" i="35"/>
  <c r="G42" i="35" a="1"/>
  <c r="G42" i="35" s="1"/>
  <c r="H38" i="35"/>
  <c r="G41" i="35"/>
  <c r="G40" i="35"/>
  <c r="H15" i="35"/>
  <c r="I13" i="35"/>
  <c r="H17" i="35" a="1"/>
  <c r="H17" i="35" s="1"/>
  <c r="H16" i="35"/>
  <c r="G57" i="35" a="1"/>
  <c r="G57" i="35" s="1"/>
  <c r="G56" i="35"/>
  <c r="G55" i="35"/>
  <c r="H53" i="35"/>
  <c r="G60" i="35"/>
  <c r="H58" i="35"/>
  <c r="G62" i="35" a="1"/>
  <c r="G62" i="35" s="1"/>
  <c r="G61" i="35"/>
  <c r="H52" i="35" a="1"/>
  <c r="H52" i="35" s="1"/>
  <c r="I48" i="35"/>
  <c r="H51" i="35"/>
  <c r="H50" i="35"/>
  <c r="G67" i="35" a="1"/>
  <c r="G67" i="35" s="1"/>
  <c r="H63" i="35"/>
  <c r="G66" i="35"/>
  <c r="G65" i="35"/>
  <c r="H47" i="35" a="1"/>
  <c r="H47" i="35" s="1"/>
  <c r="I43" i="35"/>
  <c r="H46" i="35"/>
  <c r="H45" i="35"/>
  <c r="G32" i="35" a="1"/>
  <c r="G32" i="35" s="1"/>
  <c r="G31" i="35"/>
  <c r="H28" i="35"/>
  <c r="G30" i="35"/>
  <c r="H11" i="35"/>
  <c r="H10" i="35"/>
  <c r="I8" i="35"/>
  <c r="H12" i="35" a="1"/>
  <c r="H12" i="35" s="1"/>
  <c r="I23" i="35"/>
  <c r="H26" i="35"/>
  <c r="H27" i="35" a="1"/>
  <c r="H27" i="35" s="1"/>
  <c r="H25" i="35"/>
  <c r="G37" i="35" a="1"/>
  <c r="G37" i="35" s="1"/>
  <c r="H33" i="35"/>
  <c r="G36" i="35"/>
  <c r="G35" i="35"/>
  <c r="D60" i="8"/>
  <c r="D53" i="12"/>
  <c r="F18" i="8"/>
  <c r="G18" i="8" s="1"/>
  <c r="E21" i="8"/>
  <c r="E22" i="8" s="1" a="1"/>
  <c r="E22" i="8" s="1"/>
  <c r="D50" i="8"/>
  <c r="D54" i="12" a="1"/>
  <c r="D54" i="12" s="1"/>
  <c r="D60" i="12" a="1"/>
  <c r="D60" i="12" s="1"/>
  <c r="E53" i="8"/>
  <c r="E56" i="8" s="1"/>
  <c r="E57" i="8" s="1" a="1"/>
  <c r="E57" i="8" s="1"/>
  <c r="D30" i="12" a="1"/>
  <c r="D30" i="12" s="1"/>
  <c r="D18" i="12" a="1"/>
  <c r="D18" i="12" s="1"/>
  <c r="D25" i="8"/>
  <c r="D56" i="8"/>
  <c r="D57" i="8" s="1" a="1"/>
  <c r="D57" i="8" s="1"/>
  <c r="D51" i="8"/>
  <c r="D52" i="8" s="1" a="1"/>
  <c r="D52" i="8" s="1"/>
  <c r="E62" i="12"/>
  <c r="D64" i="12"/>
  <c r="F14" i="12"/>
  <c r="F18" i="12" s="1" a="1"/>
  <c r="F18" i="12" s="1"/>
  <c r="D65" i="12"/>
  <c r="F38" i="20" a="1"/>
  <c r="F38" i="20" s="1"/>
  <c r="F34" i="20" a="1"/>
  <c r="F34" i="20" s="1"/>
  <c r="F32" i="20" a="1"/>
  <c r="F32" i="20" s="1"/>
  <c r="F28" i="20" a="1"/>
  <c r="F28" i="20" s="1"/>
  <c r="F36" i="20" a="1"/>
  <c r="F36" i="20" s="1"/>
  <c r="F40" i="20" a="1"/>
  <c r="F40" i="20" s="1"/>
  <c r="F20" i="20" a="1"/>
  <c r="F20" i="20" s="1"/>
  <c r="F30" i="20" a="1"/>
  <c r="F30" i="20" s="1"/>
  <c r="F26" i="20" a="1"/>
  <c r="F26" i="20" s="1"/>
  <c r="F24" i="20" a="1"/>
  <c r="F24" i="20" s="1"/>
  <c r="F22" i="20" a="1"/>
  <c r="F22" i="20" s="1"/>
  <c r="F18" i="20" a="1"/>
  <c r="F18" i="20" s="1"/>
  <c r="F16" i="20" a="1"/>
  <c r="F16" i="20" s="1"/>
  <c r="F14" i="20" a="1"/>
  <c r="F14" i="20" s="1"/>
  <c r="F12" i="20" a="1"/>
  <c r="F12" i="20" s="1"/>
  <c r="G11" i="20"/>
  <c r="H8" i="20"/>
  <c r="G10" i="20"/>
  <c r="D26" i="8"/>
  <c r="D27" i="8" s="1" a="1"/>
  <c r="D27" i="8" s="1"/>
  <c r="G36" i="19" a="1"/>
  <c r="G36" i="19" s="1"/>
  <c r="G40" i="19" a="1"/>
  <c r="G40" i="19" s="1"/>
  <c r="G34" i="19" a="1"/>
  <c r="G34" i="19" s="1"/>
  <c r="G30" i="19" a="1"/>
  <c r="G30" i="19" s="1"/>
  <c r="G22" i="19" a="1"/>
  <c r="G22" i="19" s="1"/>
  <c r="G38" i="19" a="1"/>
  <c r="G38" i="19" s="1"/>
  <c r="G32" i="19" a="1"/>
  <c r="G32" i="19" s="1"/>
  <c r="G24" i="19" a="1"/>
  <c r="G24" i="19" s="1"/>
  <c r="G16" i="19" a="1"/>
  <c r="G16" i="19" s="1"/>
  <c r="G10" i="19"/>
  <c r="G26" i="19" a="1"/>
  <c r="G26" i="19" s="1"/>
  <c r="G20" i="19" a="1"/>
  <c r="G20" i="19" s="1"/>
  <c r="G14" i="19" a="1"/>
  <c r="G14" i="19" s="1"/>
  <c r="G11" i="19"/>
  <c r="G28" i="19" a="1"/>
  <c r="G28" i="19" s="1"/>
  <c r="G12" i="19" a="1"/>
  <c r="G12" i="19" s="1"/>
  <c r="H8" i="19"/>
  <c r="G18" i="19" a="1"/>
  <c r="G18" i="19" s="1"/>
  <c r="D58" i="12"/>
  <c r="D59" i="12"/>
  <c r="D11" i="8"/>
  <c r="D12" i="8" s="1" a="1"/>
  <c r="D12" i="8" s="1"/>
  <c r="D10" i="8"/>
  <c r="D10" i="12"/>
  <c r="E8" i="12"/>
  <c r="D12" i="12" a="1"/>
  <c r="D12" i="12" s="1"/>
  <c r="D11" i="12"/>
  <c r="E78" i="12" a="1"/>
  <c r="E78" i="12" s="1"/>
  <c r="E77" i="12"/>
  <c r="E76" i="12"/>
  <c r="F74" i="12"/>
  <c r="E30" i="12" a="1"/>
  <c r="E30" i="12" s="1"/>
  <c r="F26" i="12"/>
  <c r="E29" i="12"/>
  <c r="E28" i="12"/>
  <c r="E36" i="12" a="1"/>
  <c r="E36" i="12" s="1"/>
  <c r="E35" i="12"/>
  <c r="E34" i="12"/>
  <c r="F32" i="12"/>
  <c r="E42" i="12" a="1"/>
  <c r="E42" i="12" s="1"/>
  <c r="E41" i="12"/>
  <c r="E40" i="12"/>
  <c r="F38" i="12"/>
  <c r="E48" i="12" a="1"/>
  <c r="E48" i="12" s="1"/>
  <c r="E47" i="12"/>
  <c r="E46" i="12"/>
  <c r="F44" i="12"/>
  <c r="E24" i="12" a="1"/>
  <c r="E24" i="12" s="1"/>
  <c r="E23" i="12"/>
  <c r="E22" i="12"/>
  <c r="F20" i="12"/>
  <c r="E54" i="12" a="1"/>
  <c r="E54" i="12" s="1"/>
  <c r="E53" i="12"/>
  <c r="F50" i="12"/>
  <c r="E52" i="12"/>
  <c r="E59" i="12"/>
  <c r="E58" i="12"/>
  <c r="F56" i="12"/>
  <c r="E60" i="12" a="1"/>
  <c r="E60" i="12" s="1"/>
  <c r="E72" i="12" a="1"/>
  <c r="E72" i="12" s="1"/>
  <c r="E71" i="12"/>
  <c r="E70" i="12"/>
  <c r="F68" i="12"/>
  <c r="D41" i="8"/>
  <c r="D42" i="8" s="1" a="1"/>
  <c r="D42" i="8" s="1"/>
  <c r="E38" i="8"/>
  <c r="D40" i="8"/>
  <c r="E13" i="8"/>
  <c r="D15" i="8"/>
  <c r="D16" i="8"/>
  <c r="D17" i="8" s="1" a="1"/>
  <c r="D17" i="8" s="1"/>
  <c r="E51" i="8"/>
  <c r="E52" i="8" s="1" a="1"/>
  <c r="E52" i="8" s="1"/>
  <c r="F48" i="8"/>
  <c r="E50" i="8"/>
  <c r="E26" i="8"/>
  <c r="E27" i="8" s="1" a="1"/>
  <c r="E27" i="8" s="1"/>
  <c r="E25" i="8"/>
  <c r="F23" i="8"/>
  <c r="F58" i="8"/>
  <c r="E60" i="8"/>
  <c r="E61" i="8"/>
  <c r="E62" i="8" s="1" a="1"/>
  <c r="E62" i="8" s="1"/>
  <c r="E33" i="8"/>
  <c r="D35" i="8"/>
  <c r="D36" i="8"/>
  <c r="D37" i="8" s="1" a="1"/>
  <c r="D37" i="8" s="1"/>
  <c r="F63" i="8"/>
  <c r="E65" i="8"/>
  <c r="E66" i="8"/>
  <c r="E67" i="8" s="1" a="1"/>
  <c r="E67" i="8" s="1"/>
  <c r="F8" i="8"/>
  <c r="E10" i="8"/>
  <c r="E11" i="8"/>
  <c r="E12" i="8" s="1" a="1"/>
  <c r="E12" i="8" s="1"/>
  <c r="E45" i="8"/>
  <c r="E46" i="8"/>
  <c r="E47" i="8" s="1" a="1"/>
  <c r="E47" i="8" s="1"/>
  <c r="F43" i="8"/>
  <c r="F28" i="8"/>
  <c r="E30" i="8"/>
  <c r="E31" i="8"/>
  <c r="E32" i="8" s="1" a="1"/>
  <c r="E32" i="8" s="1"/>
  <c r="F21" i="8" l="1"/>
  <c r="F22" i="8" s="1" a="1"/>
  <c r="F22" i="8" s="1"/>
  <c r="G14" i="12"/>
  <c r="G17" i="12" s="1"/>
  <c r="J9" i="39"/>
  <c r="J14" i="39" s="1"/>
  <c r="J51" i="39" s="1"/>
  <c r="I13" i="39"/>
  <c r="I52" i="39" s="1"/>
  <c r="E17" i="12"/>
  <c r="E16" i="12"/>
  <c r="G30" i="36" a="1"/>
  <c r="G30" i="36" s="1"/>
  <c r="G12" i="36" a="1"/>
  <c r="G12" i="36" s="1"/>
  <c r="I34" i="36"/>
  <c r="J32" i="36"/>
  <c r="I35" i="36"/>
  <c r="I36" i="36" s="1" a="1"/>
  <c r="I36" i="36" s="1"/>
  <c r="K50" i="36"/>
  <c r="J53" i="36"/>
  <c r="J54" i="36" s="1" a="1"/>
  <c r="J54" i="36" s="1"/>
  <c r="J52" i="36"/>
  <c r="I56" i="36"/>
  <c r="H59" i="36"/>
  <c r="H60" i="36" s="1" a="1"/>
  <c r="H60" i="36" s="1"/>
  <c r="H58" i="36"/>
  <c r="H76" i="36"/>
  <c r="I74" i="36"/>
  <c r="H77" i="36"/>
  <c r="H78" i="36" s="1" a="1"/>
  <c r="H78" i="36" s="1"/>
  <c r="I28" i="36"/>
  <c r="J26" i="36"/>
  <c r="I29" i="36"/>
  <c r="H11" i="36"/>
  <c r="I8" i="36"/>
  <c r="H10" i="36"/>
  <c r="H70" i="36"/>
  <c r="I68" i="36"/>
  <c r="H71" i="36"/>
  <c r="H72" i="36" s="1" a="1"/>
  <c r="H72" i="36" s="1"/>
  <c r="H18" i="36" a="1"/>
  <c r="H18" i="36" s="1"/>
  <c r="H17" i="36"/>
  <c r="I14" i="36"/>
  <c r="H16" i="36"/>
  <c r="I44" i="36"/>
  <c r="H46" i="36"/>
  <c r="H47" i="36"/>
  <c r="H48" i="36" s="1" a="1"/>
  <c r="H48" i="36" s="1"/>
  <c r="K62" i="36"/>
  <c r="J65" i="36"/>
  <c r="J66" i="36" s="1" a="1"/>
  <c r="J66" i="36" s="1"/>
  <c r="J64" i="36"/>
  <c r="I38" i="36"/>
  <c r="H41" i="36"/>
  <c r="H42" i="36" s="1" a="1"/>
  <c r="H42" i="36" s="1"/>
  <c r="H40" i="36"/>
  <c r="H22" i="36"/>
  <c r="I20" i="36"/>
  <c r="H23" i="36"/>
  <c r="H24" i="36" s="1" a="1"/>
  <c r="H24" i="36" s="1"/>
  <c r="F53" i="8"/>
  <c r="G53" i="8" s="1"/>
  <c r="F20" i="8"/>
  <c r="E55" i="8"/>
  <c r="H22" i="35" a="1"/>
  <c r="H22" i="35" s="1"/>
  <c r="I18" i="35"/>
  <c r="H20" i="35"/>
  <c r="H21" i="35"/>
  <c r="H40" i="35"/>
  <c r="H42" i="35" a="1"/>
  <c r="H42" i="35" s="1"/>
  <c r="H41" i="35"/>
  <c r="I38" i="35"/>
  <c r="J48" i="35"/>
  <c r="I51" i="35"/>
  <c r="I52" i="35" a="1"/>
  <c r="I52" i="35" s="1"/>
  <c r="I50" i="35"/>
  <c r="I58" i="35"/>
  <c r="H62" i="35" a="1"/>
  <c r="H62" i="35" s="1"/>
  <c r="H61" i="35"/>
  <c r="H60" i="35"/>
  <c r="I17" i="35" a="1"/>
  <c r="I17" i="35" s="1"/>
  <c r="I16" i="35"/>
  <c r="I15" i="35"/>
  <c r="J13" i="35"/>
  <c r="J43" i="35"/>
  <c r="I46" i="35"/>
  <c r="I47" i="35" a="1"/>
  <c r="I47" i="35" s="1"/>
  <c r="I45" i="35"/>
  <c r="I26" i="35"/>
  <c r="I27" i="35" a="1"/>
  <c r="I27" i="35" s="1"/>
  <c r="I25" i="35"/>
  <c r="J23" i="35"/>
  <c r="I12" i="35" a="1"/>
  <c r="I12" i="35" s="1"/>
  <c r="I11" i="35"/>
  <c r="I10" i="35"/>
  <c r="J8" i="35"/>
  <c r="H31" i="35"/>
  <c r="H30" i="35"/>
  <c r="H32" i="35" a="1"/>
  <c r="H32" i="35" s="1"/>
  <c r="I28" i="35"/>
  <c r="H36" i="35"/>
  <c r="H35" i="35"/>
  <c r="H37" i="35" a="1"/>
  <c r="H37" i="35" s="1"/>
  <c r="I33" i="35"/>
  <c r="I63" i="35"/>
  <c r="H66" i="35"/>
  <c r="H67" i="35" a="1"/>
  <c r="H67" i="35" s="1"/>
  <c r="H65" i="35"/>
  <c r="H56" i="35"/>
  <c r="H55" i="35"/>
  <c r="I53" i="35"/>
  <c r="H57" i="35" a="1"/>
  <c r="H57" i="35" s="1"/>
  <c r="F16" i="12"/>
  <c r="F17" i="12"/>
  <c r="E65" i="12"/>
  <c r="E66" i="12" a="1"/>
  <c r="E66" i="12" s="1"/>
  <c r="E64" i="12"/>
  <c r="F62" i="12"/>
  <c r="G40" i="20" a="1"/>
  <c r="G40" i="20" s="1"/>
  <c r="G30" i="20" a="1"/>
  <c r="G30" i="20" s="1"/>
  <c r="G38" i="20" a="1"/>
  <c r="G38" i="20" s="1"/>
  <c r="G32" i="20" a="1"/>
  <c r="G32" i="20" s="1"/>
  <c r="G28" i="20" a="1"/>
  <c r="G28" i="20" s="1"/>
  <c r="G20" i="20" a="1"/>
  <c r="G20" i="20" s="1"/>
  <c r="G26" i="20" a="1"/>
  <c r="G26" i="20" s="1"/>
  <c r="G24" i="20" a="1"/>
  <c r="G24" i="20" s="1"/>
  <c r="G36" i="20" a="1"/>
  <c r="G36" i="20" s="1"/>
  <c r="G34" i="20" a="1"/>
  <c r="G34" i="20" s="1"/>
  <c r="G22" i="20" a="1"/>
  <c r="G22" i="20" s="1"/>
  <c r="G18" i="20" a="1"/>
  <c r="G18" i="20" s="1"/>
  <c r="G14" i="20" a="1"/>
  <c r="G14" i="20" s="1"/>
  <c r="G16" i="20" a="1"/>
  <c r="G16" i="20" s="1"/>
  <c r="G12" i="20" a="1"/>
  <c r="G12" i="20" s="1"/>
  <c r="H10" i="20"/>
  <c r="H11" i="20"/>
  <c r="I8" i="20"/>
  <c r="H40" i="19" a="1"/>
  <c r="H40" i="19" s="1"/>
  <c r="H32" i="19" a="1"/>
  <c r="H32" i="19" s="1"/>
  <c r="H36" i="19" a="1"/>
  <c r="H36" i="19" s="1"/>
  <c r="H26" i="19" a="1"/>
  <c r="H26" i="19" s="1"/>
  <c r="H38" i="19" a="1"/>
  <c r="H38" i="19" s="1"/>
  <c r="H34" i="19" a="1"/>
  <c r="H34" i="19" s="1"/>
  <c r="H20" i="19" a="1"/>
  <c r="H20" i="19" s="1"/>
  <c r="H18" i="19" a="1"/>
  <c r="H18" i="19" s="1"/>
  <c r="H28" i="19" a="1"/>
  <c r="H28" i="19" s="1"/>
  <c r="H12" i="19" a="1"/>
  <c r="H12" i="19" s="1"/>
  <c r="H11" i="19"/>
  <c r="H30" i="19" a="1"/>
  <c r="H30" i="19" s="1"/>
  <c r="H22" i="19" a="1"/>
  <c r="H22" i="19" s="1"/>
  <c r="H14" i="19" a="1"/>
  <c r="H14" i="19" s="1"/>
  <c r="H24" i="19" a="1"/>
  <c r="H24" i="19" s="1"/>
  <c r="H16" i="19" a="1"/>
  <c r="H16" i="19" s="1"/>
  <c r="I8" i="19"/>
  <c r="H10" i="19"/>
  <c r="E12" i="12" a="1"/>
  <c r="E12" i="12" s="1"/>
  <c r="E11" i="12"/>
  <c r="E10" i="12"/>
  <c r="F8" i="12"/>
  <c r="F60" i="12" a="1"/>
  <c r="F60" i="12" s="1"/>
  <c r="F58" i="12"/>
  <c r="F59" i="12"/>
  <c r="G56" i="12"/>
  <c r="F54" i="12" a="1"/>
  <c r="F54" i="12" s="1"/>
  <c r="F53" i="12"/>
  <c r="F52" i="12"/>
  <c r="G50" i="12"/>
  <c r="F48" i="12" a="1"/>
  <c r="F48" i="12" s="1"/>
  <c r="F47" i="12"/>
  <c r="F46" i="12"/>
  <c r="G44" i="12"/>
  <c r="F42" i="12" a="1"/>
  <c r="F42" i="12" s="1"/>
  <c r="F41" i="12"/>
  <c r="F40" i="12"/>
  <c r="G38" i="12"/>
  <c r="F36" i="12" a="1"/>
  <c r="F36" i="12" s="1"/>
  <c r="F35" i="12"/>
  <c r="F34" i="12"/>
  <c r="G32" i="12"/>
  <c r="F77" i="12"/>
  <c r="F76" i="12"/>
  <c r="G74" i="12"/>
  <c r="F78" i="12" a="1"/>
  <c r="F78" i="12" s="1"/>
  <c r="F71" i="12"/>
  <c r="F70" i="12"/>
  <c r="G68" i="12"/>
  <c r="F72" i="12" a="1"/>
  <c r="F72" i="12" s="1"/>
  <c r="G18" i="12" a="1"/>
  <c r="G18" i="12" s="1"/>
  <c r="G16" i="12"/>
  <c r="H14" i="12"/>
  <c r="F30" i="12" a="1"/>
  <c r="F30" i="12" s="1"/>
  <c r="F29" i="12"/>
  <c r="F28" i="12"/>
  <c r="G26" i="12"/>
  <c r="F24" i="12" a="1"/>
  <c r="F24" i="12" s="1"/>
  <c r="F23" i="12"/>
  <c r="F22" i="12"/>
  <c r="G20" i="12"/>
  <c r="E40" i="8"/>
  <c r="E41" i="8"/>
  <c r="E42" i="8" s="1" a="1"/>
  <c r="E42" i="8" s="1"/>
  <c r="F38" i="8"/>
  <c r="F65" i="8"/>
  <c r="F66" i="8"/>
  <c r="F67" i="8" s="1" a="1"/>
  <c r="F67" i="8" s="1"/>
  <c r="G63" i="8"/>
  <c r="F60" i="8"/>
  <c r="F61" i="8"/>
  <c r="F62" i="8" s="1" a="1"/>
  <c r="F62" i="8" s="1"/>
  <c r="G58" i="8"/>
  <c r="G8" i="8"/>
  <c r="F10" i="8"/>
  <c r="F11" i="8"/>
  <c r="F12" i="8" s="1" a="1"/>
  <c r="F12" i="8" s="1"/>
  <c r="F46" i="8"/>
  <c r="F47" i="8" s="1" a="1"/>
  <c r="F47" i="8" s="1"/>
  <c r="F45" i="8"/>
  <c r="G43" i="8"/>
  <c r="F33" i="8"/>
  <c r="E35" i="8"/>
  <c r="E36" i="8"/>
  <c r="E37" i="8" s="1" a="1"/>
  <c r="E37" i="8" s="1"/>
  <c r="F25" i="8"/>
  <c r="F26" i="8"/>
  <c r="F27" i="8" s="1" a="1"/>
  <c r="F27" i="8" s="1"/>
  <c r="G23" i="8"/>
  <c r="F13" i="8"/>
  <c r="E15" i="8"/>
  <c r="E16" i="8"/>
  <c r="E17" i="8" s="1" a="1"/>
  <c r="E17" i="8" s="1"/>
  <c r="F55" i="8"/>
  <c r="G28" i="8"/>
  <c r="F30" i="8"/>
  <c r="F31" i="8"/>
  <c r="F32" i="8" s="1" a="1"/>
  <c r="F32" i="8" s="1"/>
  <c r="F50" i="8"/>
  <c r="F51" i="8"/>
  <c r="F52" i="8" s="1" a="1"/>
  <c r="F52" i="8" s="1"/>
  <c r="G48" i="8"/>
  <c r="H18" i="8"/>
  <c r="G20" i="8"/>
  <c r="G21" i="8"/>
  <c r="G22" i="8" s="1" a="1"/>
  <c r="G22" i="8" s="1"/>
  <c r="K9" i="39" l="1"/>
  <c r="K14" i="39" s="1"/>
  <c r="K51" i="39" s="1"/>
  <c r="J13" i="39"/>
  <c r="J52" i="39" s="1"/>
  <c r="F56" i="8"/>
  <c r="F57" i="8" s="1" a="1"/>
  <c r="F57" i="8" s="1"/>
  <c r="H12" i="36" a="1"/>
  <c r="H12" i="36" s="1"/>
  <c r="H30" i="36" a="1"/>
  <c r="H30" i="36" s="1"/>
  <c r="I41" i="36"/>
  <c r="I42" i="36" s="1" a="1"/>
  <c r="I42" i="36" s="1"/>
  <c r="I40" i="36"/>
  <c r="J38" i="36"/>
  <c r="I17" i="36"/>
  <c r="J14" i="36"/>
  <c r="I16" i="36"/>
  <c r="I18" i="36" a="1"/>
  <c r="I18" i="36" s="1"/>
  <c r="I59" i="36"/>
  <c r="I60" i="36" s="1" a="1"/>
  <c r="I60" i="36" s="1"/>
  <c r="J56" i="36"/>
  <c r="I58" i="36"/>
  <c r="K53" i="36"/>
  <c r="K54" i="36" s="1" a="1"/>
  <c r="K54" i="36" s="1"/>
  <c r="L50" i="36"/>
  <c r="K52" i="36"/>
  <c r="J20" i="36"/>
  <c r="I23" i="36"/>
  <c r="I24" i="36" s="1" a="1"/>
  <c r="I24" i="36" s="1"/>
  <c r="I22" i="36"/>
  <c r="K65" i="36"/>
  <c r="K66" i="36" s="1" a="1"/>
  <c r="K66" i="36" s="1"/>
  <c r="L62" i="36"/>
  <c r="K64" i="36"/>
  <c r="I47" i="36"/>
  <c r="I48" i="36" s="1" a="1"/>
  <c r="I48" i="36" s="1"/>
  <c r="I46" i="36"/>
  <c r="J44" i="36"/>
  <c r="I70" i="36"/>
  <c r="J68" i="36"/>
  <c r="I71" i="36"/>
  <c r="I72" i="36" s="1" a="1"/>
  <c r="I72" i="36" s="1"/>
  <c r="I77" i="36"/>
  <c r="I78" i="36" s="1" a="1"/>
  <c r="I78" i="36" s="1"/>
  <c r="I76" i="36"/>
  <c r="J74" i="36"/>
  <c r="K32" i="36"/>
  <c r="J35" i="36"/>
  <c r="J36" i="36" s="1" a="1"/>
  <c r="J36" i="36" s="1"/>
  <c r="J34" i="36"/>
  <c r="I11" i="36"/>
  <c r="J8" i="36"/>
  <c r="I10" i="36"/>
  <c r="K26" i="36"/>
  <c r="J29" i="36"/>
  <c r="J28" i="36"/>
  <c r="I21" i="35"/>
  <c r="I22" i="35" a="1"/>
  <c r="I22" i="35" s="1"/>
  <c r="I20" i="35"/>
  <c r="J18" i="35"/>
  <c r="J38" i="35"/>
  <c r="I41" i="35"/>
  <c r="I42" i="35" a="1"/>
  <c r="I42" i="35" s="1"/>
  <c r="I40" i="35"/>
  <c r="I37" i="35" a="1"/>
  <c r="I37" i="35" s="1"/>
  <c r="I35" i="35"/>
  <c r="J33" i="35"/>
  <c r="I36" i="35"/>
  <c r="J11" i="35"/>
  <c r="J10" i="35"/>
  <c r="K8" i="35"/>
  <c r="J12" i="35" a="1"/>
  <c r="J12" i="35" s="1"/>
  <c r="J25" i="35"/>
  <c r="J27" i="35" a="1"/>
  <c r="J27" i="35" s="1"/>
  <c r="J26" i="35"/>
  <c r="K23" i="35"/>
  <c r="J17" i="35" a="1"/>
  <c r="J17" i="35" s="1"/>
  <c r="J16" i="35"/>
  <c r="J15" i="35"/>
  <c r="K13" i="35"/>
  <c r="I57" i="35" a="1"/>
  <c r="I57" i="35" s="1"/>
  <c r="I55" i="35"/>
  <c r="I56" i="35"/>
  <c r="J53" i="35"/>
  <c r="I31" i="35"/>
  <c r="I32" i="35" a="1"/>
  <c r="I32" i="35" s="1"/>
  <c r="I30" i="35"/>
  <c r="J28" i="35"/>
  <c r="J47" i="35" a="1"/>
  <c r="J47" i="35" s="1"/>
  <c r="J46" i="35"/>
  <c r="J45" i="35"/>
  <c r="K43" i="35"/>
  <c r="I66" i="35"/>
  <c r="I67" i="35" a="1"/>
  <c r="I67" i="35" s="1"/>
  <c r="I65" i="35"/>
  <c r="J63" i="35"/>
  <c r="I61" i="35"/>
  <c r="J58" i="35"/>
  <c r="I60" i="35"/>
  <c r="I62" i="35" a="1"/>
  <c r="I62" i="35" s="1"/>
  <c r="J52" i="35" a="1"/>
  <c r="J52" i="35" s="1"/>
  <c r="J51" i="35"/>
  <c r="J50" i="35"/>
  <c r="K48" i="35"/>
  <c r="F66" i="12" a="1"/>
  <c r="F66" i="12" s="1"/>
  <c r="F65" i="12"/>
  <c r="F64" i="12"/>
  <c r="G62" i="12"/>
  <c r="H32" i="20" a="1"/>
  <c r="H32" i="20" s="1"/>
  <c r="H28" i="20" a="1"/>
  <c r="H28" i="20" s="1"/>
  <c r="H36" i="20" a="1"/>
  <c r="H36" i="20" s="1"/>
  <c r="H34" i="20" a="1"/>
  <c r="H34" i="20" s="1"/>
  <c r="H40" i="20" a="1"/>
  <c r="H40" i="20" s="1"/>
  <c r="H30" i="20" a="1"/>
  <c r="H30" i="20" s="1"/>
  <c r="H38" i="20" a="1"/>
  <c r="H38" i="20" s="1"/>
  <c r="H26" i="20" a="1"/>
  <c r="H26" i="20" s="1"/>
  <c r="H24" i="20" a="1"/>
  <c r="H24" i="20" s="1"/>
  <c r="H22" i="20" a="1"/>
  <c r="H22" i="20" s="1"/>
  <c r="H18" i="20" a="1"/>
  <c r="H18" i="20" s="1"/>
  <c r="H20" i="20" a="1"/>
  <c r="H20" i="20" s="1"/>
  <c r="H12" i="20" a="1"/>
  <c r="H12" i="20" s="1"/>
  <c r="H16" i="20" a="1"/>
  <c r="H16" i="20" s="1"/>
  <c r="H14" i="20" a="1"/>
  <c r="H14" i="20" s="1"/>
  <c r="I11" i="20"/>
  <c r="J8" i="20"/>
  <c r="I10" i="20"/>
  <c r="I36" i="19" a="1"/>
  <c r="I36" i="19" s="1"/>
  <c r="I32" i="19" a="1"/>
  <c r="I32" i="19" s="1"/>
  <c r="I30" i="19" a="1"/>
  <c r="I30" i="19" s="1"/>
  <c r="I22" i="19" a="1"/>
  <c r="I22" i="19" s="1"/>
  <c r="I40" i="19" a="1"/>
  <c r="I40" i="19" s="1"/>
  <c r="I34" i="19" a="1"/>
  <c r="I34" i="19" s="1"/>
  <c r="I28" i="19" a="1"/>
  <c r="I28" i="19" s="1"/>
  <c r="I38" i="19" a="1"/>
  <c r="I38" i="19" s="1"/>
  <c r="I24" i="19" a="1"/>
  <c r="I24" i="19" s="1"/>
  <c r="I16" i="19" a="1"/>
  <c r="I16" i="19" s="1"/>
  <c r="J8" i="19"/>
  <c r="I26" i="19" a="1"/>
  <c r="I26" i="19" s="1"/>
  <c r="I12" i="19" a="1"/>
  <c r="I12" i="19" s="1"/>
  <c r="I14" i="19" a="1"/>
  <c r="I14" i="19" s="1"/>
  <c r="I20" i="19" a="1"/>
  <c r="I20" i="19" s="1"/>
  <c r="I18" i="19" a="1"/>
  <c r="I18" i="19" s="1"/>
  <c r="I10" i="19"/>
  <c r="I11" i="19"/>
  <c r="F10" i="12"/>
  <c r="F11" i="12"/>
  <c r="G8" i="12"/>
  <c r="F12" i="12" a="1"/>
  <c r="F12" i="12" s="1"/>
  <c r="G30" i="12" a="1"/>
  <c r="G30" i="12" s="1"/>
  <c r="G29" i="12"/>
  <c r="G28" i="12"/>
  <c r="H26" i="12"/>
  <c r="G36" i="12" a="1"/>
  <c r="G36" i="12" s="1"/>
  <c r="G35" i="12"/>
  <c r="G34" i="12"/>
  <c r="H32" i="12"/>
  <c r="G42" i="12" a="1"/>
  <c r="G42" i="12" s="1"/>
  <c r="G41" i="12"/>
  <c r="G40" i="12"/>
  <c r="H38" i="12"/>
  <c r="G48" i="12" a="1"/>
  <c r="G48" i="12" s="1"/>
  <c r="G47" i="12"/>
  <c r="G46" i="12"/>
  <c r="H44" i="12"/>
  <c r="G54" i="12" a="1"/>
  <c r="G54" i="12" s="1"/>
  <c r="G53" i="12"/>
  <c r="G52" i="12"/>
  <c r="H50" i="12"/>
  <c r="G78" i="12" a="1"/>
  <c r="G78" i="12" s="1"/>
  <c r="G77" i="12"/>
  <c r="G76" i="12"/>
  <c r="H74" i="12"/>
  <c r="G24" i="12" a="1"/>
  <c r="G24" i="12" s="1"/>
  <c r="G23" i="12"/>
  <c r="G22" i="12"/>
  <c r="H20" i="12"/>
  <c r="G72" i="12" a="1"/>
  <c r="G72" i="12" s="1"/>
  <c r="G71" i="12"/>
  <c r="G70" i="12"/>
  <c r="H68" i="12"/>
  <c r="H17" i="12"/>
  <c r="H16" i="12"/>
  <c r="I14" i="12"/>
  <c r="H18" i="12" a="1"/>
  <c r="H18" i="12" s="1"/>
  <c r="G60" i="12" a="1"/>
  <c r="G60" i="12" s="1"/>
  <c r="G59" i="12"/>
  <c r="G58" i="12"/>
  <c r="H56" i="12"/>
  <c r="G38" i="8"/>
  <c r="F40" i="8"/>
  <c r="F41" i="8"/>
  <c r="F42" i="8" s="1" a="1"/>
  <c r="F42" i="8" s="1"/>
  <c r="F35" i="8"/>
  <c r="F36" i="8"/>
  <c r="F37" i="8" s="1" a="1"/>
  <c r="F37" i="8" s="1"/>
  <c r="G33" i="8"/>
  <c r="G30" i="8"/>
  <c r="G31" i="8"/>
  <c r="G32" i="8" s="1" a="1"/>
  <c r="G32" i="8" s="1"/>
  <c r="H28" i="8"/>
  <c r="F15" i="8"/>
  <c r="F16" i="8"/>
  <c r="F17" i="8" s="1" a="1"/>
  <c r="F17" i="8" s="1"/>
  <c r="G13" i="8"/>
  <c r="I18" i="8"/>
  <c r="H20" i="8"/>
  <c r="H21" i="8"/>
  <c r="H22" i="8" s="1" a="1"/>
  <c r="H22" i="8" s="1"/>
  <c r="H53" i="8"/>
  <c r="G56" i="8"/>
  <c r="G57" i="8" s="1" a="1"/>
  <c r="G57" i="8" s="1"/>
  <c r="G55" i="8"/>
  <c r="G26" i="8"/>
  <c r="G27" i="8" s="1" a="1"/>
  <c r="G27" i="8" s="1"/>
  <c r="G25" i="8"/>
  <c r="H23" i="8"/>
  <c r="H43" i="8"/>
  <c r="G46" i="8"/>
  <c r="G47" i="8" s="1" a="1"/>
  <c r="G47" i="8" s="1"/>
  <c r="G45" i="8"/>
  <c r="G66" i="8"/>
  <c r="G67" i="8" s="1" a="1"/>
  <c r="G67" i="8" s="1"/>
  <c r="H63" i="8"/>
  <c r="G65" i="8"/>
  <c r="G10" i="8"/>
  <c r="G11" i="8"/>
  <c r="G12" i="8" s="1" a="1"/>
  <c r="G12" i="8" s="1"/>
  <c r="H8" i="8"/>
  <c r="G61" i="8"/>
  <c r="G62" i="8" s="1" a="1"/>
  <c r="G62" i="8" s="1"/>
  <c r="H58" i="8"/>
  <c r="G60" i="8"/>
  <c r="H48" i="8"/>
  <c r="G51" i="8"/>
  <c r="G52" i="8" s="1" a="1"/>
  <c r="G52" i="8" s="1"/>
  <c r="G50" i="8"/>
  <c r="L9" i="39" l="1"/>
  <c r="L14" i="39" s="1"/>
  <c r="L51" i="39" s="1"/>
  <c r="K13" i="39"/>
  <c r="K52" i="39" s="1"/>
  <c r="I12" i="36" a="1"/>
  <c r="I12" i="36" s="1"/>
  <c r="I30" i="36" a="1"/>
  <c r="I30" i="36" s="1"/>
  <c r="J23" i="36"/>
  <c r="J24" i="36" s="1" a="1"/>
  <c r="J24" i="36" s="1"/>
  <c r="J22" i="36"/>
  <c r="K20" i="36"/>
  <c r="L52" i="36"/>
  <c r="M50" i="36"/>
  <c r="L53" i="36"/>
  <c r="L54" i="36" s="1" a="1"/>
  <c r="L54" i="36" s="1"/>
  <c r="J58" i="36"/>
  <c r="J59" i="36"/>
  <c r="J60" i="36" s="1" a="1"/>
  <c r="J60" i="36" s="1"/>
  <c r="K56" i="36"/>
  <c r="J40" i="36"/>
  <c r="K38" i="36"/>
  <c r="J41" i="36"/>
  <c r="J42" i="36" s="1" a="1"/>
  <c r="J42" i="36" s="1"/>
  <c r="J11" i="36"/>
  <c r="K8" i="36"/>
  <c r="J10" i="36"/>
  <c r="K29" i="36"/>
  <c r="K28" i="36"/>
  <c r="L26" i="36"/>
  <c r="K35" i="36"/>
  <c r="K36" i="36" s="1" a="1"/>
  <c r="K36" i="36" s="1"/>
  <c r="K34" i="36"/>
  <c r="L32" i="36"/>
  <c r="J77" i="36"/>
  <c r="J78" i="36" s="1" a="1"/>
  <c r="J78" i="36" s="1"/>
  <c r="J76" i="36"/>
  <c r="K74" i="36"/>
  <c r="J46" i="36"/>
  <c r="K44" i="36"/>
  <c r="J47" i="36"/>
  <c r="J48" i="36" s="1" a="1"/>
  <c r="J48" i="36" s="1"/>
  <c r="J16" i="36"/>
  <c r="J18" i="36" a="1"/>
  <c r="J18" i="36" s="1"/>
  <c r="J17" i="36"/>
  <c r="K14" i="36"/>
  <c r="K68" i="36"/>
  <c r="J71" i="36"/>
  <c r="J72" i="36" s="1" a="1"/>
  <c r="J72" i="36" s="1"/>
  <c r="J70" i="36"/>
  <c r="L64" i="36"/>
  <c r="L65" i="36"/>
  <c r="L66" i="36" s="1" a="1"/>
  <c r="L66" i="36" s="1"/>
  <c r="M62" i="36"/>
  <c r="J21" i="35"/>
  <c r="J20" i="35"/>
  <c r="K18" i="35"/>
  <c r="J22" i="35" a="1"/>
  <c r="J22" i="35" s="1"/>
  <c r="K38" i="35"/>
  <c r="J42" i="35" a="1"/>
  <c r="J42" i="35" s="1"/>
  <c r="J41" i="35"/>
  <c r="J40" i="35"/>
  <c r="J55" i="35"/>
  <c r="K53" i="35"/>
  <c r="J57" i="35" a="1"/>
  <c r="J57" i="35" s="1"/>
  <c r="J56" i="35"/>
  <c r="K16" i="35"/>
  <c r="K15" i="35"/>
  <c r="L13" i="35"/>
  <c r="K17" i="35" a="1"/>
  <c r="K17" i="35" s="1"/>
  <c r="J60" i="35"/>
  <c r="J61" i="35"/>
  <c r="J62" i="35" a="1"/>
  <c r="J62" i="35" s="1"/>
  <c r="K58" i="35"/>
  <c r="K27" i="35" a="1"/>
  <c r="K27" i="35" s="1"/>
  <c r="L23" i="35"/>
  <c r="K25" i="35"/>
  <c r="K26" i="35"/>
  <c r="K12" i="35" a="1"/>
  <c r="K12" i="35" s="1"/>
  <c r="K11" i="35"/>
  <c r="K10" i="35"/>
  <c r="L8" i="35"/>
  <c r="K33" i="35"/>
  <c r="J37" i="35" a="1"/>
  <c r="J37" i="35" s="1"/>
  <c r="J36" i="35"/>
  <c r="J35" i="35"/>
  <c r="K50" i="35"/>
  <c r="K52" i="35" a="1"/>
  <c r="K52" i="35" s="1"/>
  <c r="L48" i="35"/>
  <c r="K51" i="35"/>
  <c r="J65" i="35"/>
  <c r="K63" i="35"/>
  <c r="J67" i="35" a="1"/>
  <c r="J67" i="35" s="1"/>
  <c r="J66" i="35"/>
  <c r="K45" i="35"/>
  <c r="K47" i="35" a="1"/>
  <c r="K47" i="35" s="1"/>
  <c r="L43" i="35"/>
  <c r="K46" i="35"/>
  <c r="J30" i="35"/>
  <c r="J31" i="35"/>
  <c r="K28" i="35"/>
  <c r="J32" i="35" a="1"/>
  <c r="J32" i="35" s="1"/>
  <c r="H62" i="12"/>
  <c r="G64" i="12"/>
  <c r="G66" i="12" a="1"/>
  <c r="G66" i="12" s="1"/>
  <c r="G65" i="12"/>
  <c r="I38" i="20" a="1"/>
  <c r="I38" i="20" s="1"/>
  <c r="I32" i="20" a="1"/>
  <c r="I32" i="20" s="1"/>
  <c r="I28" i="20" a="1"/>
  <c r="I28" i="20" s="1"/>
  <c r="I36" i="20" a="1"/>
  <c r="I36" i="20" s="1"/>
  <c r="I34" i="20" a="1"/>
  <c r="I34" i="20" s="1"/>
  <c r="I20" i="20" a="1"/>
  <c r="I20" i="20" s="1"/>
  <c r="I40" i="20" a="1"/>
  <c r="I40" i="20" s="1"/>
  <c r="I26" i="20" a="1"/>
  <c r="I26" i="20" s="1"/>
  <c r="I24" i="20" a="1"/>
  <c r="I24" i="20" s="1"/>
  <c r="I30" i="20" a="1"/>
  <c r="I30" i="20" s="1"/>
  <c r="I22" i="20" a="1"/>
  <c r="I22" i="20" s="1"/>
  <c r="I18" i="20" a="1"/>
  <c r="I18" i="20" s="1"/>
  <c r="I16" i="20" a="1"/>
  <c r="I16" i="20" s="1"/>
  <c r="I14" i="20" a="1"/>
  <c r="I14" i="20" s="1"/>
  <c r="I12" i="20" a="1"/>
  <c r="I12" i="20" s="1"/>
  <c r="J10" i="20"/>
  <c r="J11" i="20"/>
  <c r="K8" i="20"/>
  <c r="J40" i="19" a="1"/>
  <c r="J40" i="19" s="1"/>
  <c r="J32" i="19" a="1"/>
  <c r="J32" i="19" s="1"/>
  <c r="J26" i="19" a="1"/>
  <c r="J26" i="19" s="1"/>
  <c r="J36" i="19" a="1"/>
  <c r="J36" i="19" s="1"/>
  <c r="J38" i="19" a="1"/>
  <c r="J38" i="19" s="1"/>
  <c r="J30" i="19" a="1"/>
  <c r="J30" i="19" s="1"/>
  <c r="J24" i="19" a="1"/>
  <c r="J24" i="19" s="1"/>
  <c r="J18" i="19" a="1"/>
  <c r="J18" i="19" s="1"/>
  <c r="J20" i="19" a="1"/>
  <c r="J20" i="19" s="1"/>
  <c r="J12" i="19" a="1"/>
  <c r="J12" i="19" s="1"/>
  <c r="K8" i="19"/>
  <c r="J28" i="19" a="1"/>
  <c r="J28" i="19" s="1"/>
  <c r="J10" i="19"/>
  <c r="J22" i="19" a="1"/>
  <c r="J22" i="19" s="1"/>
  <c r="J16" i="19" a="1"/>
  <c r="J16" i="19" s="1"/>
  <c r="J14" i="19" a="1"/>
  <c r="J14" i="19" s="1"/>
  <c r="J11" i="19"/>
  <c r="J34" i="19" a="1"/>
  <c r="J34" i="19" s="1"/>
  <c r="G11" i="12"/>
  <c r="G10" i="12"/>
  <c r="H8" i="12"/>
  <c r="G12" i="12" a="1"/>
  <c r="G12" i="12" s="1"/>
  <c r="I18" i="12" a="1"/>
  <c r="I18" i="12" s="1"/>
  <c r="I17" i="12"/>
  <c r="I16" i="12"/>
  <c r="J14" i="12"/>
  <c r="H71" i="12"/>
  <c r="H70" i="12"/>
  <c r="I68" i="12"/>
  <c r="H72" i="12" a="1"/>
  <c r="H72" i="12" s="1"/>
  <c r="H23" i="12"/>
  <c r="H22" i="12"/>
  <c r="I20" i="12"/>
  <c r="H24" i="12" a="1"/>
  <c r="H24" i="12" s="1"/>
  <c r="H77" i="12"/>
  <c r="H76" i="12"/>
  <c r="I74" i="12"/>
  <c r="H78" i="12" a="1"/>
  <c r="H78" i="12" s="1"/>
  <c r="H29" i="12"/>
  <c r="H28" i="12"/>
  <c r="I26" i="12"/>
  <c r="H30" i="12" a="1"/>
  <c r="H30" i="12" s="1"/>
  <c r="H60" i="12" a="1"/>
  <c r="H60" i="12" s="1"/>
  <c r="H59" i="12"/>
  <c r="H58" i="12"/>
  <c r="I56" i="12"/>
  <c r="H53" i="12"/>
  <c r="H52" i="12"/>
  <c r="I50" i="12"/>
  <c r="H54" i="12" a="1"/>
  <c r="H54" i="12" s="1"/>
  <c r="H48" i="12" a="1"/>
  <c r="H48" i="12" s="1"/>
  <c r="H47" i="12"/>
  <c r="H46" i="12"/>
  <c r="I44" i="12"/>
  <c r="H42" i="12" a="1"/>
  <c r="H42" i="12" s="1"/>
  <c r="H41" i="12"/>
  <c r="H40" i="12"/>
  <c r="I38" i="12"/>
  <c r="H36" i="12" a="1"/>
  <c r="H36" i="12" s="1"/>
  <c r="H35" i="12"/>
  <c r="H34" i="12"/>
  <c r="I32" i="12"/>
  <c r="G41" i="8"/>
  <c r="G42" i="8" s="1" a="1"/>
  <c r="G42" i="8" s="1"/>
  <c r="G40" i="8"/>
  <c r="H38" i="8"/>
  <c r="H25" i="8"/>
  <c r="I23" i="8"/>
  <c r="H26" i="8"/>
  <c r="H27" i="8" s="1" a="1"/>
  <c r="H27" i="8" s="1"/>
  <c r="H11" i="8"/>
  <c r="H12" i="8" s="1" a="1"/>
  <c r="H12" i="8" s="1"/>
  <c r="I8" i="8"/>
  <c r="H10" i="8"/>
  <c r="I63" i="8"/>
  <c r="H65" i="8"/>
  <c r="H66" i="8"/>
  <c r="H67" i="8" s="1" a="1"/>
  <c r="H67" i="8" s="1"/>
  <c r="H55" i="8"/>
  <c r="H56" i="8"/>
  <c r="H57" i="8" s="1" a="1"/>
  <c r="H57" i="8" s="1"/>
  <c r="I53" i="8"/>
  <c r="H31" i="8"/>
  <c r="H32" i="8" s="1" a="1"/>
  <c r="H32" i="8" s="1"/>
  <c r="I28" i="8"/>
  <c r="H30" i="8"/>
  <c r="I58" i="8"/>
  <c r="H60" i="8"/>
  <c r="H61" i="8"/>
  <c r="H62" i="8" s="1" a="1"/>
  <c r="H62" i="8" s="1"/>
  <c r="G36" i="8"/>
  <c r="G37" i="8" s="1" a="1"/>
  <c r="G37" i="8" s="1"/>
  <c r="H33" i="8"/>
  <c r="G35" i="8"/>
  <c r="G16" i="8"/>
  <c r="G17" i="8" s="1" a="1"/>
  <c r="G17" i="8" s="1"/>
  <c r="H13" i="8"/>
  <c r="G15" i="8"/>
  <c r="H50" i="8"/>
  <c r="I48" i="8"/>
  <c r="H51" i="8"/>
  <c r="H52" i="8" s="1" a="1"/>
  <c r="H52" i="8" s="1"/>
  <c r="I43" i="8"/>
  <c r="H45" i="8"/>
  <c r="H46" i="8"/>
  <c r="H47" i="8" s="1" a="1"/>
  <c r="H47" i="8" s="1"/>
  <c r="I20" i="8"/>
  <c r="I21" i="8"/>
  <c r="I22" i="8" s="1" a="1"/>
  <c r="I22" i="8" s="1"/>
  <c r="J18" i="8"/>
  <c r="M9" i="39" l="1"/>
  <c r="M14" i="39" s="1"/>
  <c r="M51" i="39" s="1"/>
  <c r="L13" i="39"/>
  <c r="L52" i="39" s="1"/>
  <c r="J12" i="36" a="1"/>
  <c r="J12" i="36" s="1"/>
  <c r="J30" i="36" a="1"/>
  <c r="J30" i="36" s="1"/>
  <c r="K77" i="36"/>
  <c r="K78" i="36" s="1" a="1"/>
  <c r="K78" i="36" s="1"/>
  <c r="K76" i="36"/>
  <c r="L74" i="36"/>
  <c r="L34" i="36"/>
  <c r="M32" i="36"/>
  <c r="L35" i="36"/>
  <c r="L36" i="36" s="1" a="1"/>
  <c r="L36" i="36" s="1"/>
  <c r="K10" i="36"/>
  <c r="K11" i="36"/>
  <c r="L8" i="36"/>
  <c r="M52" i="36"/>
  <c r="N50" i="36"/>
  <c r="M53" i="36"/>
  <c r="M54" i="36" s="1" a="1"/>
  <c r="M54" i="36" s="1"/>
  <c r="K46" i="36"/>
  <c r="K47" i="36"/>
  <c r="K48" i="36" s="1" a="1"/>
  <c r="K48" i="36" s="1"/>
  <c r="L44" i="36"/>
  <c r="L28" i="36"/>
  <c r="M26" i="36"/>
  <c r="L29" i="36"/>
  <c r="K22" i="36"/>
  <c r="L20" i="36"/>
  <c r="K23" i="36"/>
  <c r="K24" i="36" s="1" a="1"/>
  <c r="K24" i="36" s="1"/>
  <c r="M64" i="36"/>
  <c r="M65" i="36"/>
  <c r="M66" i="36" s="1" a="1"/>
  <c r="M66" i="36" s="1"/>
  <c r="N62" i="36"/>
  <c r="K71" i="36"/>
  <c r="K72" i="36" s="1" a="1"/>
  <c r="K72" i="36" s="1"/>
  <c r="K70" i="36"/>
  <c r="L68" i="36"/>
  <c r="K17" i="36"/>
  <c r="L14" i="36"/>
  <c r="K18" i="36" a="1"/>
  <c r="K18" i="36" s="1"/>
  <c r="K16" i="36"/>
  <c r="K40" i="36"/>
  <c r="L38" i="36"/>
  <c r="K41" i="36"/>
  <c r="K42" i="36" s="1" a="1"/>
  <c r="K42" i="36" s="1"/>
  <c r="K58" i="36"/>
  <c r="L56" i="36"/>
  <c r="K59" i="36"/>
  <c r="K60" i="36" s="1" a="1"/>
  <c r="K60" i="36" s="1"/>
  <c r="K20" i="35"/>
  <c r="K22" i="35" a="1"/>
  <c r="K22" i="35" s="1"/>
  <c r="L18" i="35"/>
  <c r="K21" i="35"/>
  <c r="K40" i="35"/>
  <c r="L38" i="35"/>
  <c r="K42" i="35" a="1"/>
  <c r="K42" i="35" s="1"/>
  <c r="K41" i="35"/>
  <c r="K37" i="35" a="1"/>
  <c r="K37" i="35" s="1"/>
  <c r="L33" i="35"/>
  <c r="K36" i="35"/>
  <c r="K35" i="35"/>
  <c r="K57" i="35" a="1"/>
  <c r="K57" i="35" s="1"/>
  <c r="L53" i="35"/>
  <c r="K56" i="35"/>
  <c r="K55" i="35"/>
  <c r="L12" i="35" a="1"/>
  <c r="L12" i="35" s="1"/>
  <c r="L11" i="35"/>
  <c r="L10" i="35"/>
  <c r="M8" i="35"/>
  <c r="K32" i="35" a="1"/>
  <c r="K32" i="35" s="1"/>
  <c r="K31" i="35"/>
  <c r="L28" i="35"/>
  <c r="K30" i="35"/>
  <c r="L47" i="35" a="1"/>
  <c r="L47" i="35" s="1"/>
  <c r="M43" i="35"/>
  <c r="L46" i="35"/>
  <c r="L45" i="35"/>
  <c r="L52" i="35" a="1"/>
  <c r="L52" i="35" s="1"/>
  <c r="M48" i="35"/>
  <c r="L51" i="35"/>
  <c r="L50" i="35"/>
  <c r="K62" i="35" a="1"/>
  <c r="K62" i="35" s="1"/>
  <c r="K60" i="35"/>
  <c r="L58" i="35"/>
  <c r="K61" i="35"/>
  <c r="K67" i="35" a="1"/>
  <c r="K67" i="35" s="1"/>
  <c r="L63" i="35"/>
  <c r="K65" i="35"/>
  <c r="K66" i="35"/>
  <c r="M23" i="35"/>
  <c r="L26" i="35"/>
  <c r="L25" i="35"/>
  <c r="L27" i="35" a="1"/>
  <c r="L27" i="35" s="1"/>
  <c r="L15" i="35"/>
  <c r="M13" i="35"/>
  <c r="L17" i="35" a="1"/>
  <c r="L17" i="35" s="1"/>
  <c r="L16" i="35"/>
  <c r="H65" i="12"/>
  <c r="H64" i="12"/>
  <c r="H66" i="12" a="1"/>
  <c r="H66" i="12" s="1"/>
  <c r="I62" i="12"/>
  <c r="J36" i="20" a="1"/>
  <c r="J36" i="20" s="1"/>
  <c r="J40" i="20" a="1"/>
  <c r="J40" i="20" s="1"/>
  <c r="J34" i="20" a="1"/>
  <c r="J34" i="20" s="1"/>
  <c r="J30" i="20" a="1"/>
  <c r="J30" i="20" s="1"/>
  <c r="J38" i="20" a="1"/>
  <c r="J38" i="20" s="1"/>
  <c r="J22" i="20" a="1"/>
  <c r="J22" i="20" s="1"/>
  <c r="J18" i="20" a="1"/>
  <c r="J18" i="20" s="1"/>
  <c r="J28" i="20" a="1"/>
  <c r="J28" i="20" s="1"/>
  <c r="J20" i="20" a="1"/>
  <c r="J20" i="20" s="1"/>
  <c r="J32" i="20" a="1"/>
  <c r="J32" i="20" s="1"/>
  <c r="J26" i="20" a="1"/>
  <c r="J26" i="20" s="1"/>
  <c r="J24" i="20" a="1"/>
  <c r="J24" i="20" s="1"/>
  <c r="J12" i="20" a="1"/>
  <c r="J12" i="20" s="1"/>
  <c r="J14" i="20" a="1"/>
  <c r="J14" i="20" s="1"/>
  <c r="J16" i="20" a="1"/>
  <c r="J16" i="20" s="1"/>
  <c r="K11" i="20"/>
  <c r="L8" i="20"/>
  <c r="K10" i="20"/>
  <c r="K36" i="19" a="1"/>
  <c r="K36" i="19" s="1"/>
  <c r="K38" i="19" a="1"/>
  <c r="K38" i="19" s="1"/>
  <c r="K30" i="19" a="1"/>
  <c r="K30" i="19" s="1"/>
  <c r="K22" i="19" a="1"/>
  <c r="K22" i="19" s="1"/>
  <c r="K32" i="19" a="1"/>
  <c r="K32" i="19" s="1"/>
  <c r="K40" i="19" a="1"/>
  <c r="K40" i="19" s="1"/>
  <c r="K26" i="19" a="1"/>
  <c r="K26" i="19" s="1"/>
  <c r="K20" i="19" a="1"/>
  <c r="K20" i="19" s="1"/>
  <c r="K28" i="19" a="1"/>
  <c r="K28" i="19" s="1"/>
  <c r="K16" i="19" a="1"/>
  <c r="K16" i="19" s="1"/>
  <c r="K10" i="19"/>
  <c r="K34" i="19" a="1"/>
  <c r="K34" i="19" s="1"/>
  <c r="K24" i="19" a="1"/>
  <c r="K24" i="19" s="1"/>
  <c r="K14" i="19" a="1"/>
  <c r="K14" i="19" s="1"/>
  <c r="K11" i="19"/>
  <c r="K12" i="19" a="1"/>
  <c r="K12" i="19" s="1"/>
  <c r="K18" i="19" a="1"/>
  <c r="K18" i="19" s="1"/>
  <c r="L8" i="19"/>
  <c r="H10" i="12"/>
  <c r="I8" i="12"/>
  <c r="H12" i="12" a="1"/>
  <c r="H12" i="12" s="1"/>
  <c r="H11" i="12"/>
  <c r="I30" i="12" a="1"/>
  <c r="I30" i="12" s="1"/>
  <c r="J26" i="12"/>
  <c r="I29" i="12"/>
  <c r="I28" i="12"/>
  <c r="I78" i="12" a="1"/>
  <c r="I78" i="12" s="1"/>
  <c r="I77" i="12"/>
  <c r="I76" i="12"/>
  <c r="J74" i="12"/>
  <c r="I24" i="12" a="1"/>
  <c r="I24" i="12" s="1"/>
  <c r="I23" i="12"/>
  <c r="I22" i="12"/>
  <c r="J20" i="12"/>
  <c r="I72" i="12" a="1"/>
  <c r="I72" i="12" s="1"/>
  <c r="I71" i="12"/>
  <c r="I70" i="12"/>
  <c r="J68" i="12"/>
  <c r="I36" i="12" a="1"/>
  <c r="I36" i="12" s="1"/>
  <c r="I35" i="12"/>
  <c r="I34" i="12"/>
  <c r="J32" i="12"/>
  <c r="I42" i="12" a="1"/>
  <c r="I42" i="12" s="1"/>
  <c r="I41" i="12"/>
  <c r="I40" i="12"/>
  <c r="J38" i="12"/>
  <c r="I48" i="12" a="1"/>
  <c r="I48" i="12" s="1"/>
  <c r="I47" i="12"/>
  <c r="I46" i="12"/>
  <c r="J44" i="12"/>
  <c r="I59" i="12"/>
  <c r="I58" i="12"/>
  <c r="J56" i="12"/>
  <c r="I60" i="12" a="1"/>
  <c r="I60" i="12" s="1"/>
  <c r="I54" i="12" a="1"/>
  <c r="I54" i="12" s="1"/>
  <c r="I52" i="12"/>
  <c r="J50" i="12"/>
  <c r="I53" i="12"/>
  <c r="J18" i="12" a="1"/>
  <c r="J18" i="12" s="1"/>
  <c r="J16" i="12"/>
  <c r="K14" i="12"/>
  <c r="J17" i="12"/>
  <c r="H40" i="8"/>
  <c r="I38" i="8"/>
  <c r="H41" i="8"/>
  <c r="H42" i="8" s="1" a="1"/>
  <c r="H42" i="8" s="1"/>
  <c r="J63" i="8"/>
  <c r="I65" i="8"/>
  <c r="I66" i="8"/>
  <c r="I67" i="8" s="1" a="1"/>
  <c r="I67" i="8" s="1"/>
  <c r="I45" i="8"/>
  <c r="I46" i="8"/>
  <c r="I47" i="8" s="1" a="1"/>
  <c r="I47" i="8" s="1"/>
  <c r="J43" i="8"/>
  <c r="I13" i="8"/>
  <c r="H15" i="8"/>
  <c r="H16" i="8"/>
  <c r="H17" i="8" s="1" a="1"/>
  <c r="H17" i="8" s="1"/>
  <c r="I33" i="8"/>
  <c r="H35" i="8"/>
  <c r="H36" i="8"/>
  <c r="H37" i="8" s="1" a="1"/>
  <c r="H37" i="8" s="1"/>
  <c r="I51" i="8"/>
  <c r="I52" i="8" s="1" a="1"/>
  <c r="I52" i="8" s="1"/>
  <c r="J48" i="8"/>
  <c r="I50" i="8"/>
  <c r="I26" i="8"/>
  <c r="I27" i="8" s="1" a="1"/>
  <c r="I27" i="8" s="1"/>
  <c r="I25" i="8"/>
  <c r="J23" i="8"/>
  <c r="J58" i="8"/>
  <c r="I60" i="8"/>
  <c r="I61" i="8"/>
  <c r="I62" i="8" s="1" a="1"/>
  <c r="I62" i="8" s="1"/>
  <c r="J21" i="8"/>
  <c r="J22" i="8" s="1" a="1"/>
  <c r="J22" i="8" s="1"/>
  <c r="K18" i="8"/>
  <c r="J20" i="8"/>
  <c r="J28" i="8"/>
  <c r="I30" i="8"/>
  <c r="I31" i="8"/>
  <c r="I32" i="8" s="1" a="1"/>
  <c r="I32" i="8" s="1"/>
  <c r="I56" i="8"/>
  <c r="I57" i="8" s="1" a="1"/>
  <c r="I57" i="8" s="1"/>
  <c r="J53" i="8"/>
  <c r="I55" i="8"/>
  <c r="J8" i="8"/>
  <c r="I11" i="8"/>
  <c r="I12" i="8" s="1" a="1"/>
  <c r="I12" i="8" s="1"/>
  <c r="I10" i="8"/>
  <c r="N9" i="39" l="1"/>
  <c r="N14" i="39" s="1"/>
  <c r="N51" i="39" s="1"/>
  <c r="M13" i="39"/>
  <c r="M52" i="39" s="1"/>
  <c r="K12" i="36" a="1"/>
  <c r="K12" i="36" s="1"/>
  <c r="K30" i="36" a="1"/>
  <c r="K30" i="36" s="1"/>
  <c r="O50" i="36"/>
  <c r="N53" i="36"/>
  <c r="N54" i="36" s="1" a="1"/>
  <c r="N54" i="36" s="1"/>
  <c r="N52" i="36"/>
  <c r="M34" i="36"/>
  <c r="N32" i="36"/>
  <c r="M35" i="36"/>
  <c r="M36" i="36" s="1" a="1"/>
  <c r="M36" i="36" s="1"/>
  <c r="M56" i="36"/>
  <c r="L59" i="36"/>
  <c r="L60" i="36" s="1" a="1"/>
  <c r="L60" i="36" s="1"/>
  <c r="L58" i="36"/>
  <c r="L70" i="36"/>
  <c r="L71" i="36"/>
  <c r="L72" i="36" s="1" a="1"/>
  <c r="L72" i="36" s="1"/>
  <c r="M68" i="36"/>
  <c r="O62" i="36"/>
  <c r="N65" i="36"/>
  <c r="N66" i="36" s="1" a="1"/>
  <c r="N66" i="36" s="1"/>
  <c r="N64" i="36"/>
  <c r="M44" i="36"/>
  <c r="L47" i="36"/>
  <c r="L48" i="36" s="1" a="1"/>
  <c r="L48" i="36" s="1"/>
  <c r="L46" i="36"/>
  <c r="L22" i="36"/>
  <c r="M20" i="36"/>
  <c r="L23" i="36"/>
  <c r="L24" i="36" s="1" a="1"/>
  <c r="L24" i="36" s="1"/>
  <c r="M38" i="36"/>
  <c r="L41" i="36"/>
  <c r="L42" i="36" s="1" a="1"/>
  <c r="L42" i="36" s="1"/>
  <c r="L40" i="36"/>
  <c r="L18" i="36" a="1"/>
  <c r="L18" i="36" s="1"/>
  <c r="L17" i="36"/>
  <c r="M14" i="36"/>
  <c r="L16" i="36"/>
  <c r="M28" i="36"/>
  <c r="N26" i="36"/>
  <c r="M29" i="36"/>
  <c r="L11" i="36"/>
  <c r="M8" i="36"/>
  <c r="L10" i="36"/>
  <c r="L76" i="36"/>
  <c r="M74" i="36"/>
  <c r="L77" i="36"/>
  <c r="L78" i="36" s="1" a="1"/>
  <c r="L78" i="36" s="1"/>
  <c r="L22" i="35" a="1"/>
  <c r="L22" i="35" s="1"/>
  <c r="M18" i="35"/>
  <c r="L21" i="35"/>
  <c r="L20" i="35"/>
  <c r="L40" i="35"/>
  <c r="L41" i="35"/>
  <c r="L42" i="35" a="1"/>
  <c r="L42" i="35" s="1"/>
  <c r="M38" i="35"/>
  <c r="M15" i="35"/>
  <c r="N13" i="35"/>
  <c r="M17" i="35" a="1"/>
  <c r="M17" i="35" s="1"/>
  <c r="M16" i="35"/>
  <c r="M63" i="35"/>
  <c r="L66" i="35"/>
  <c r="L67" i="35" a="1"/>
  <c r="L67" i="35" s="1"/>
  <c r="L65" i="35"/>
  <c r="M58" i="35"/>
  <c r="L60" i="35"/>
  <c r="L61" i="35"/>
  <c r="L62" i="35" a="1"/>
  <c r="L62" i="35" s="1"/>
  <c r="L31" i="35"/>
  <c r="L30" i="35"/>
  <c r="M28" i="35"/>
  <c r="L32" i="35" a="1"/>
  <c r="L32" i="35" s="1"/>
  <c r="M26" i="35"/>
  <c r="M27" i="35" a="1"/>
  <c r="M27" i="35" s="1"/>
  <c r="M25" i="35"/>
  <c r="N23" i="35"/>
  <c r="N48" i="35"/>
  <c r="M51" i="35"/>
  <c r="M52" i="35" a="1"/>
  <c r="M52" i="35" s="1"/>
  <c r="M50" i="35"/>
  <c r="N43" i="35"/>
  <c r="M46" i="35"/>
  <c r="M45" i="35"/>
  <c r="M47" i="35" a="1"/>
  <c r="M47" i="35" s="1"/>
  <c r="L56" i="35"/>
  <c r="L55" i="35"/>
  <c r="L57" i="35" a="1"/>
  <c r="L57" i="35" s="1"/>
  <c r="M53" i="35"/>
  <c r="L36" i="35"/>
  <c r="L35" i="35"/>
  <c r="L37" i="35" a="1"/>
  <c r="L37" i="35" s="1"/>
  <c r="M33" i="35"/>
  <c r="M12" i="35" a="1"/>
  <c r="M12" i="35" s="1"/>
  <c r="M11" i="35"/>
  <c r="M10" i="35"/>
  <c r="N8" i="35"/>
  <c r="I64" i="12"/>
  <c r="J62" i="12"/>
  <c r="I65" i="12"/>
  <c r="I66" i="12" a="1"/>
  <c r="I66" i="12" s="1"/>
  <c r="K32" i="20" a="1"/>
  <c r="K32" i="20" s="1"/>
  <c r="K28" i="20" a="1"/>
  <c r="K28" i="20" s="1"/>
  <c r="K36" i="20" a="1"/>
  <c r="K36" i="20" s="1"/>
  <c r="K40" i="20" a="1"/>
  <c r="K40" i="20" s="1"/>
  <c r="K30" i="20" a="1"/>
  <c r="K30" i="20" s="1"/>
  <c r="K26" i="20" a="1"/>
  <c r="K26" i="20" s="1"/>
  <c r="K24" i="20" a="1"/>
  <c r="K24" i="20" s="1"/>
  <c r="K38" i="20" a="1"/>
  <c r="K38" i="20" s="1"/>
  <c r="K34" i="20" a="1"/>
  <c r="K34" i="20" s="1"/>
  <c r="K22" i="20" a="1"/>
  <c r="K22" i="20" s="1"/>
  <c r="K18" i="20" a="1"/>
  <c r="K18" i="20" s="1"/>
  <c r="K20" i="20" a="1"/>
  <c r="K20" i="20" s="1"/>
  <c r="K12" i="20" a="1"/>
  <c r="K12" i="20" s="1"/>
  <c r="K16" i="20" a="1"/>
  <c r="K16" i="20" s="1"/>
  <c r="K14" i="20" a="1"/>
  <c r="K14" i="20" s="1"/>
  <c r="L10" i="20"/>
  <c r="M8" i="20"/>
  <c r="L11" i="20"/>
  <c r="L40" i="19" a="1"/>
  <c r="L40" i="19" s="1"/>
  <c r="L32" i="19" a="1"/>
  <c r="L32" i="19" s="1"/>
  <c r="L34" i="19" a="1"/>
  <c r="L34" i="19" s="1"/>
  <c r="L26" i="19" a="1"/>
  <c r="L26" i="19" s="1"/>
  <c r="L36" i="19" a="1"/>
  <c r="L36" i="19" s="1"/>
  <c r="L38" i="19" a="1"/>
  <c r="L38" i="19" s="1"/>
  <c r="L22" i="19" a="1"/>
  <c r="L22" i="19" s="1"/>
  <c r="L18" i="19" a="1"/>
  <c r="L18" i="19" s="1"/>
  <c r="L24" i="19" a="1"/>
  <c r="L24" i="19" s="1"/>
  <c r="L12" i="19" a="1"/>
  <c r="L12" i="19" s="1"/>
  <c r="L11" i="19"/>
  <c r="L30" i="19" a="1"/>
  <c r="L30" i="19" s="1"/>
  <c r="L20" i="19" a="1"/>
  <c r="L20" i="19" s="1"/>
  <c r="L14" i="19" a="1"/>
  <c r="L14" i="19" s="1"/>
  <c r="L16" i="19" a="1"/>
  <c r="L16" i="19" s="1"/>
  <c r="M8" i="19"/>
  <c r="L28" i="19" a="1"/>
  <c r="L28" i="19" s="1"/>
  <c r="L10" i="19"/>
  <c r="I12" i="12" a="1"/>
  <c r="I12" i="12" s="1"/>
  <c r="I11" i="12"/>
  <c r="I10" i="12"/>
  <c r="J8" i="12"/>
  <c r="J42" i="12" a="1"/>
  <c r="J42" i="12" s="1"/>
  <c r="J41" i="12"/>
  <c r="J40" i="12"/>
  <c r="K38" i="12"/>
  <c r="J36" i="12" a="1"/>
  <c r="J36" i="12" s="1"/>
  <c r="J35" i="12"/>
  <c r="J34" i="12"/>
  <c r="K32" i="12"/>
  <c r="K18" i="12" a="1"/>
  <c r="K18" i="12" s="1"/>
  <c r="K17" i="12"/>
  <c r="K16" i="12"/>
  <c r="L14" i="12"/>
  <c r="J48" i="12" a="1"/>
  <c r="J48" i="12" s="1"/>
  <c r="J47" i="12"/>
  <c r="J46" i="12"/>
  <c r="K44" i="12"/>
  <c r="J53" i="12"/>
  <c r="J54" i="12" a="1"/>
  <c r="J54" i="12" s="1"/>
  <c r="J52" i="12"/>
  <c r="K50" i="12"/>
  <c r="J71" i="12"/>
  <c r="J70" i="12"/>
  <c r="K68" i="12"/>
  <c r="J72" i="12" a="1"/>
  <c r="J72" i="12" s="1"/>
  <c r="J24" i="12" a="1"/>
  <c r="J24" i="12" s="1"/>
  <c r="J23" i="12"/>
  <c r="J22" i="12"/>
  <c r="K20" i="12"/>
  <c r="J77" i="12"/>
  <c r="J76" i="12"/>
  <c r="K74" i="12"/>
  <c r="J78" i="12" a="1"/>
  <c r="J78" i="12" s="1"/>
  <c r="J60" i="12" a="1"/>
  <c r="J60" i="12" s="1"/>
  <c r="J59" i="12"/>
  <c r="J58" i="12"/>
  <c r="K56" i="12"/>
  <c r="J29" i="12"/>
  <c r="J28" i="12"/>
  <c r="J30" i="12" a="1"/>
  <c r="J30" i="12" s="1"/>
  <c r="K26" i="12"/>
  <c r="I41" i="8"/>
  <c r="I42" i="8" s="1" a="1"/>
  <c r="I42" i="8" s="1"/>
  <c r="I40" i="8"/>
  <c r="J38" i="8"/>
  <c r="K53" i="8"/>
  <c r="J55" i="8"/>
  <c r="J56" i="8"/>
  <c r="J57" i="8" s="1" a="1"/>
  <c r="J57" i="8" s="1"/>
  <c r="K28" i="8"/>
  <c r="J30" i="8"/>
  <c r="J31" i="8"/>
  <c r="J32" i="8" s="1" a="1"/>
  <c r="J32" i="8" s="1"/>
  <c r="J25" i="8"/>
  <c r="J26" i="8"/>
  <c r="J27" i="8" s="1" a="1"/>
  <c r="J27" i="8" s="1"/>
  <c r="K23" i="8"/>
  <c r="J10" i="8"/>
  <c r="J11" i="8"/>
  <c r="J12" i="8" s="1" a="1"/>
  <c r="J12" i="8" s="1"/>
  <c r="K8" i="8"/>
  <c r="L18" i="8"/>
  <c r="K20" i="8"/>
  <c r="K21" i="8"/>
  <c r="K22" i="8" s="1" a="1"/>
  <c r="K22" i="8" s="1"/>
  <c r="J50" i="8"/>
  <c r="K48" i="8"/>
  <c r="J51" i="8"/>
  <c r="J52" i="8" s="1" a="1"/>
  <c r="J52" i="8" s="1"/>
  <c r="J33" i="8"/>
  <c r="I35" i="8"/>
  <c r="I36" i="8"/>
  <c r="I37" i="8" s="1" a="1"/>
  <c r="I37" i="8" s="1"/>
  <c r="J46" i="8"/>
  <c r="J47" i="8" s="1" a="1"/>
  <c r="J47" i="8" s="1"/>
  <c r="J45" i="8"/>
  <c r="K43" i="8"/>
  <c r="J65" i="8"/>
  <c r="J66" i="8"/>
  <c r="J67" i="8" s="1" a="1"/>
  <c r="J67" i="8" s="1"/>
  <c r="K63" i="8"/>
  <c r="J60" i="8"/>
  <c r="J61" i="8"/>
  <c r="J62" i="8" s="1" a="1"/>
  <c r="J62" i="8" s="1"/>
  <c r="K58" i="8"/>
  <c r="J13" i="8"/>
  <c r="I15" i="8"/>
  <c r="I16" i="8"/>
  <c r="I17" i="8" s="1" a="1"/>
  <c r="I17" i="8" s="1"/>
  <c r="O9" i="39" l="1"/>
  <c r="O14" i="39" s="1"/>
  <c r="O51" i="39" s="1"/>
  <c r="N13" i="39"/>
  <c r="N52" i="39" s="1"/>
  <c r="L12" i="36" a="1"/>
  <c r="L12" i="36" s="1"/>
  <c r="L30" i="36" a="1"/>
  <c r="L30" i="36" s="1"/>
  <c r="M47" i="36"/>
  <c r="M48" i="36" s="1" a="1"/>
  <c r="M48" i="36" s="1"/>
  <c r="M46" i="36"/>
  <c r="N44" i="36"/>
  <c r="O65" i="36"/>
  <c r="O66" i="36" s="1" a="1"/>
  <c r="O66" i="36" s="1"/>
  <c r="P62" i="36"/>
  <c r="O64" i="36"/>
  <c r="M59" i="36"/>
  <c r="M60" i="36" s="1" a="1"/>
  <c r="M60" i="36" s="1"/>
  <c r="M58" i="36"/>
  <c r="N56" i="36"/>
  <c r="O53" i="36"/>
  <c r="O54" i="36" s="1" a="1"/>
  <c r="O54" i="36" s="1"/>
  <c r="O52" i="36"/>
  <c r="P50" i="36"/>
  <c r="M76" i="36"/>
  <c r="M77" i="36"/>
  <c r="M78" i="36" s="1" a="1"/>
  <c r="M78" i="36" s="1"/>
  <c r="N74" i="36"/>
  <c r="M70" i="36"/>
  <c r="N68" i="36"/>
  <c r="M71" i="36"/>
  <c r="M72" i="36" s="1" a="1"/>
  <c r="M72" i="36" s="1"/>
  <c r="O26" i="36"/>
  <c r="N29" i="36"/>
  <c r="N28" i="36"/>
  <c r="M17" i="36"/>
  <c r="N14" i="36"/>
  <c r="M16" i="36"/>
  <c r="M18" i="36" a="1"/>
  <c r="M18" i="36" s="1"/>
  <c r="M11" i="36"/>
  <c r="N8" i="36"/>
  <c r="M10" i="36"/>
  <c r="M41" i="36"/>
  <c r="M42" i="36" s="1" a="1"/>
  <c r="M42" i="36" s="1"/>
  <c r="M40" i="36"/>
  <c r="N38" i="36"/>
  <c r="N20" i="36"/>
  <c r="M23" i="36"/>
  <c r="M24" i="36" s="1" a="1"/>
  <c r="M24" i="36" s="1"/>
  <c r="M22" i="36"/>
  <c r="O32" i="36"/>
  <c r="N35" i="36"/>
  <c r="N36" i="36" s="1" a="1"/>
  <c r="N36" i="36" s="1"/>
  <c r="N34" i="36"/>
  <c r="N18" i="35"/>
  <c r="M21" i="35"/>
  <c r="M22" i="35" a="1"/>
  <c r="M22" i="35" s="1"/>
  <c r="M20" i="35"/>
  <c r="M41" i="35"/>
  <c r="M42" i="35" a="1"/>
  <c r="M42" i="35" s="1"/>
  <c r="M40" i="35"/>
  <c r="N38" i="35"/>
  <c r="N11" i="35"/>
  <c r="N10" i="35"/>
  <c r="O8" i="35"/>
  <c r="N12" i="35" a="1"/>
  <c r="N12" i="35" s="1"/>
  <c r="M37" i="35" a="1"/>
  <c r="M37" i="35" s="1"/>
  <c r="M35" i="35"/>
  <c r="N33" i="35"/>
  <c r="M36" i="35"/>
  <c r="M57" i="35" a="1"/>
  <c r="M57" i="35" s="1"/>
  <c r="M55" i="35"/>
  <c r="N53" i="35"/>
  <c r="M56" i="35"/>
  <c r="M31" i="35"/>
  <c r="M32" i="35" a="1"/>
  <c r="M32" i="35" s="1"/>
  <c r="M30" i="35"/>
  <c r="N28" i="35"/>
  <c r="N25" i="35"/>
  <c r="N27" i="35" a="1"/>
  <c r="N27" i="35" s="1"/>
  <c r="O23" i="35"/>
  <c r="N26" i="35"/>
  <c r="N17" i="35" a="1"/>
  <c r="N17" i="35" s="1"/>
  <c r="N16" i="35"/>
  <c r="N15" i="35"/>
  <c r="O13" i="35"/>
  <c r="N46" i="35"/>
  <c r="N45" i="35"/>
  <c r="N47" i="35" a="1"/>
  <c r="N47" i="35" s="1"/>
  <c r="O43" i="35"/>
  <c r="N52" i="35" a="1"/>
  <c r="N52" i="35" s="1"/>
  <c r="N51" i="35"/>
  <c r="N50" i="35"/>
  <c r="O48" i="35"/>
  <c r="M61" i="35"/>
  <c r="M62" i="35" a="1"/>
  <c r="M62" i="35" s="1"/>
  <c r="N58" i="35"/>
  <c r="M60" i="35"/>
  <c r="M66" i="35"/>
  <c r="M67" i="35" a="1"/>
  <c r="M67" i="35" s="1"/>
  <c r="M65" i="35"/>
  <c r="N63" i="35"/>
  <c r="K62" i="12"/>
  <c r="J66" i="12" a="1"/>
  <c r="J66" i="12" s="1"/>
  <c r="J64" i="12"/>
  <c r="J65" i="12"/>
  <c r="L40" i="20" a="1"/>
  <c r="L40" i="20" s="1"/>
  <c r="L30" i="20" a="1"/>
  <c r="L30" i="20" s="1"/>
  <c r="L38" i="20" a="1"/>
  <c r="L38" i="20" s="1"/>
  <c r="L34" i="20" a="1"/>
  <c r="L34" i="20" s="1"/>
  <c r="L32" i="20" a="1"/>
  <c r="L32" i="20" s="1"/>
  <c r="L28" i="20" a="1"/>
  <c r="L28" i="20" s="1"/>
  <c r="L36" i="20" a="1"/>
  <c r="L36" i="20" s="1"/>
  <c r="L20" i="20" a="1"/>
  <c r="L20" i="20" s="1"/>
  <c r="L26" i="20" a="1"/>
  <c r="L26" i="20" s="1"/>
  <c r="L24" i="20" a="1"/>
  <c r="L24" i="20" s="1"/>
  <c r="L22" i="20" a="1"/>
  <c r="L22" i="20" s="1"/>
  <c r="L18" i="20" a="1"/>
  <c r="L18" i="20" s="1"/>
  <c r="L14" i="20" a="1"/>
  <c r="L14" i="20" s="1"/>
  <c r="L16" i="20" a="1"/>
  <c r="L16" i="20" s="1"/>
  <c r="L12" i="20" a="1"/>
  <c r="L12" i="20" s="1"/>
  <c r="N8" i="20"/>
  <c r="M10" i="20"/>
  <c r="M11" i="20"/>
  <c r="M36" i="19" a="1"/>
  <c r="M36" i="19" s="1"/>
  <c r="M30" i="19" a="1"/>
  <c r="M30" i="19" s="1"/>
  <c r="M22" i="19" a="1"/>
  <c r="M22" i="19" s="1"/>
  <c r="M38" i="19" a="1"/>
  <c r="M38" i="19" s="1"/>
  <c r="M40" i="19" a="1"/>
  <c r="M40" i="19" s="1"/>
  <c r="M34" i="19" a="1"/>
  <c r="M34" i="19" s="1"/>
  <c r="M26" i="19" a="1"/>
  <c r="M26" i="19" s="1"/>
  <c r="M20" i="19" a="1"/>
  <c r="M20" i="19" s="1"/>
  <c r="M16" i="19" a="1"/>
  <c r="M16" i="19" s="1"/>
  <c r="M28" i="19" a="1"/>
  <c r="M28" i="19" s="1"/>
  <c r="M12" i="19" a="1"/>
  <c r="M12" i="19" s="1"/>
  <c r="M32" i="19" a="1"/>
  <c r="M32" i="19" s="1"/>
  <c r="M18" i="19" a="1"/>
  <c r="M18" i="19" s="1"/>
  <c r="M14" i="19" a="1"/>
  <c r="M14" i="19" s="1"/>
  <c r="N8" i="19"/>
  <c r="M10" i="19"/>
  <c r="M24" i="19" a="1"/>
  <c r="M24" i="19" s="1"/>
  <c r="M11" i="19"/>
  <c r="J12" i="12" a="1"/>
  <c r="J12" i="12" s="1"/>
  <c r="J11" i="12"/>
  <c r="K8" i="12"/>
  <c r="J10" i="12"/>
  <c r="K30" i="12" a="1"/>
  <c r="K30" i="12" s="1"/>
  <c r="K29" i="12"/>
  <c r="K28" i="12"/>
  <c r="L26" i="12"/>
  <c r="K24" i="12" a="1"/>
  <c r="K24" i="12" s="1"/>
  <c r="K23" i="12"/>
  <c r="K22" i="12"/>
  <c r="L20" i="12"/>
  <c r="K72" i="12" a="1"/>
  <c r="K72" i="12" s="1"/>
  <c r="K71" i="12"/>
  <c r="K70" i="12"/>
  <c r="L68" i="12"/>
  <c r="K36" i="12" a="1"/>
  <c r="K36" i="12" s="1"/>
  <c r="K35" i="12"/>
  <c r="K34" i="12"/>
  <c r="L32" i="12"/>
  <c r="K42" i="12" a="1"/>
  <c r="K42" i="12" s="1"/>
  <c r="K41" i="12"/>
  <c r="K40" i="12"/>
  <c r="L38" i="12"/>
  <c r="K54" i="12" a="1"/>
  <c r="K54" i="12" s="1"/>
  <c r="K53" i="12"/>
  <c r="K52" i="12"/>
  <c r="L50" i="12"/>
  <c r="K48" i="12" a="1"/>
  <c r="K48" i="12" s="1"/>
  <c r="K47" i="12"/>
  <c r="K46" i="12"/>
  <c r="L44" i="12"/>
  <c r="L17" i="12"/>
  <c r="L16" i="12"/>
  <c r="M14" i="12"/>
  <c r="L18" i="12" a="1"/>
  <c r="L18" i="12" s="1"/>
  <c r="K60" i="12" a="1"/>
  <c r="K60" i="12" s="1"/>
  <c r="K59" i="12"/>
  <c r="K58" i="12"/>
  <c r="L56" i="12"/>
  <c r="K78" i="12" a="1"/>
  <c r="K78" i="12" s="1"/>
  <c r="K77" i="12"/>
  <c r="K76" i="12"/>
  <c r="L74" i="12"/>
  <c r="K38" i="8"/>
  <c r="J41" i="8"/>
  <c r="J42" i="8" s="1" a="1"/>
  <c r="J42" i="8" s="1"/>
  <c r="J40" i="8"/>
  <c r="J15" i="8"/>
  <c r="J16" i="8"/>
  <c r="J17" i="8" s="1" a="1"/>
  <c r="J17" i="8" s="1"/>
  <c r="K13" i="8"/>
  <c r="K61" i="8"/>
  <c r="K62" i="8" s="1" a="1"/>
  <c r="K62" i="8" s="1"/>
  <c r="K60" i="8"/>
  <c r="L58" i="8"/>
  <c r="K66" i="8"/>
  <c r="K67" i="8" s="1" a="1"/>
  <c r="K67" i="8" s="1"/>
  <c r="L63" i="8"/>
  <c r="K65" i="8"/>
  <c r="L43" i="8"/>
  <c r="K46" i="8"/>
  <c r="K47" i="8" s="1" a="1"/>
  <c r="K47" i="8" s="1"/>
  <c r="K45" i="8"/>
  <c r="K30" i="8"/>
  <c r="K31" i="8"/>
  <c r="K32" i="8" s="1" a="1"/>
  <c r="K32" i="8" s="1"/>
  <c r="L28" i="8"/>
  <c r="J35" i="8"/>
  <c r="J36" i="8"/>
  <c r="J37" i="8" s="1" a="1"/>
  <c r="J37" i="8" s="1"/>
  <c r="K33" i="8"/>
  <c r="M18" i="8"/>
  <c r="L20" i="8"/>
  <c r="L21" i="8"/>
  <c r="L22" i="8" s="1" a="1"/>
  <c r="L22" i="8" s="1"/>
  <c r="K26" i="8"/>
  <c r="K27" i="8" s="1" a="1"/>
  <c r="K27" i="8" s="1"/>
  <c r="K25" i="8"/>
  <c r="L23" i="8"/>
  <c r="K10" i="8"/>
  <c r="K11" i="8"/>
  <c r="K12" i="8" s="1" a="1"/>
  <c r="K12" i="8" s="1"/>
  <c r="L8" i="8"/>
  <c r="L48" i="8"/>
  <c r="K51" i="8"/>
  <c r="K52" i="8" s="1" a="1"/>
  <c r="K52" i="8" s="1"/>
  <c r="K50" i="8"/>
  <c r="L53" i="8"/>
  <c r="K55" i="8"/>
  <c r="K56" i="8"/>
  <c r="K57" i="8" s="1" a="1"/>
  <c r="K57" i="8" s="1"/>
  <c r="P9" i="39" l="1"/>
  <c r="P14" i="39" s="1"/>
  <c r="P51" i="39" s="1"/>
  <c r="O13" i="39"/>
  <c r="O52" i="39" s="1"/>
  <c r="M12" i="36" a="1"/>
  <c r="M12" i="36" s="1"/>
  <c r="M30" i="36" a="1"/>
  <c r="M30" i="36" s="1"/>
  <c r="N77" i="36"/>
  <c r="N78" i="36" s="1" a="1"/>
  <c r="N78" i="36" s="1"/>
  <c r="O74" i="36"/>
  <c r="N76" i="36"/>
  <c r="P52" i="36"/>
  <c r="P53" i="36"/>
  <c r="P54" i="36" s="1" a="1"/>
  <c r="P54" i="36" s="1"/>
  <c r="Q50" i="36"/>
  <c r="N58" i="36"/>
  <c r="N59" i="36"/>
  <c r="N60" i="36" s="1" a="1"/>
  <c r="N60" i="36" s="1"/>
  <c r="O56" i="36"/>
  <c r="O35" i="36"/>
  <c r="O36" i="36" s="1" a="1"/>
  <c r="O36" i="36" s="1"/>
  <c r="O34" i="36"/>
  <c r="P32" i="36"/>
  <c r="N16" i="36"/>
  <c r="N18" i="36" a="1"/>
  <c r="N18" i="36" s="1"/>
  <c r="N17" i="36"/>
  <c r="O14" i="36"/>
  <c r="N40" i="36"/>
  <c r="O38" i="36"/>
  <c r="N41" i="36"/>
  <c r="N42" i="36" s="1" a="1"/>
  <c r="N42" i="36" s="1"/>
  <c r="N11" i="36"/>
  <c r="O8" i="36"/>
  <c r="N10" i="36"/>
  <c r="O68" i="36"/>
  <c r="N71" i="36"/>
  <c r="N72" i="36" s="1" a="1"/>
  <c r="N72" i="36" s="1"/>
  <c r="N70" i="36"/>
  <c r="P64" i="36"/>
  <c r="Q62" i="36"/>
  <c r="P65" i="36"/>
  <c r="P66" i="36" s="1" a="1"/>
  <c r="P66" i="36" s="1"/>
  <c r="N46" i="36"/>
  <c r="O44" i="36"/>
  <c r="N47" i="36"/>
  <c r="N48" i="36" s="1" a="1"/>
  <c r="N48" i="36" s="1"/>
  <c r="N23" i="36"/>
  <c r="N24" i="36" s="1" a="1"/>
  <c r="N24" i="36" s="1"/>
  <c r="N22" i="36"/>
  <c r="O20" i="36"/>
  <c r="O29" i="36"/>
  <c r="O28" i="36"/>
  <c r="P26" i="36"/>
  <c r="N22" i="35" a="1"/>
  <c r="N22" i="35" s="1"/>
  <c r="N21" i="35"/>
  <c r="N20" i="35"/>
  <c r="O18" i="35"/>
  <c r="O38" i="35"/>
  <c r="N42" i="35" a="1"/>
  <c r="N42" i="35" s="1"/>
  <c r="N40" i="35"/>
  <c r="N41" i="35"/>
  <c r="N65" i="35"/>
  <c r="O63" i="35"/>
  <c r="N66" i="35"/>
  <c r="N67" i="35" a="1"/>
  <c r="N67" i="35" s="1"/>
  <c r="O50" i="35"/>
  <c r="O52" i="35" a="1"/>
  <c r="O52" i="35" s="1"/>
  <c r="P48" i="35"/>
  <c r="O51" i="35"/>
  <c r="O47" i="35" a="1"/>
  <c r="O47" i="35" s="1"/>
  <c r="O45" i="35"/>
  <c r="P43" i="35"/>
  <c r="O46" i="35"/>
  <c r="O16" i="35"/>
  <c r="O15" i="35"/>
  <c r="P13" i="35"/>
  <c r="O17" i="35" a="1"/>
  <c r="O17" i="35" s="1"/>
  <c r="N30" i="35"/>
  <c r="N31" i="35"/>
  <c r="N32" i="35" a="1"/>
  <c r="N32" i="35" s="1"/>
  <c r="O28" i="35"/>
  <c r="N60" i="35"/>
  <c r="N62" i="35" a="1"/>
  <c r="N62" i="35" s="1"/>
  <c r="O58" i="35"/>
  <c r="N61" i="35"/>
  <c r="O27" i="35" a="1"/>
  <c r="O27" i="35" s="1"/>
  <c r="P23" i="35"/>
  <c r="O26" i="35"/>
  <c r="O25" i="35"/>
  <c r="N56" i="35"/>
  <c r="N55" i="35"/>
  <c r="N57" i="35" a="1"/>
  <c r="N57" i="35" s="1"/>
  <c r="O53" i="35"/>
  <c r="O33" i="35"/>
  <c r="N37" i="35" a="1"/>
  <c r="N37" i="35" s="1"/>
  <c r="N36" i="35"/>
  <c r="N35" i="35"/>
  <c r="O12" i="35" a="1"/>
  <c r="O12" i="35" s="1"/>
  <c r="O11" i="35"/>
  <c r="O10" i="35"/>
  <c r="P8" i="35"/>
  <c r="K64" i="12"/>
  <c r="L62" i="12"/>
  <c r="K66" i="12" a="1"/>
  <c r="K66" i="12" s="1"/>
  <c r="K65" i="12"/>
  <c r="M36" i="20" a="1"/>
  <c r="M36" i="20" s="1"/>
  <c r="M40" i="20" a="1"/>
  <c r="M40" i="20" s="1"/>
  <c r="M30" i="20" a="1"/>
  <c r="M30" i="20" s="1"/>
  <c r="M38" i="20" a="1"/>
  <c r="M38" i="20" s="1"/>
  <c r="M32" i="20" a="1"/>
  <c r="M32" i="20" s="1"/>
  <c r="M22" i="20" a="1"/>
  <c r="M22" i="20" s="1"/>
  <c r="M18" i="20" a="1"/>
  <c r="M18" i="20" s="1"/>
  <c r="M34" i="20" a="1"/>
  <c r="M34" i="20" s="1"/>
  <c r="M20" i="20" a="1"/>
  <c r="M20" i="20" s="1"/>
  <c r="M28" i="20" a="1"/>
  <c r="M28" i="20" s="1"/>
  <c r="M26" i="20" a="1"/>
  <c r="M26" i="20" s="1"/>
  <c r="M24" i="20" a="1"/>
  <c r="M24" i="20" s="1"/>
  <c r="M12" i="20" a="1"/>
  <c r="M12" i="20" s="1"/>
  <c r="M14" i="20" a="1"/>
  <c r="M14" i="20" s="1"/>
  <c r="M16" i="20" a="1"/>
  <c r="M16" i="20" s="1"/>
  <c r="N10" i="20"/>
  <c r="N11" i="20"/>
  <c r="O8" i="20"/>
  <c r="N40" i="19" a="1"/>
  <c r="N40" i="19" s="1"/>
  <c r="N32" i="19" a="1"/>
  <c r="N32" i="19" s="1"/>
  <c r="N38" i="19" a="1"/>
  <c r="N38" i="19" s="1"/>
  <c r="N26" i="19" a="1"/>
  <c r="N26" i="19" s="1"/>
  <c r="N34" i="19" a="1"/>
  <c r="N34" i="19" s="1"/>
  <c r="N30" i="19" a="1"/>
  <c r="N30" i="19" s="1"/>
  <c r="N28" i="19" a="1"/>
  <c r="N28" i="19" s="1"/>
  <c r="N18" i="19" a="1"/>
  <c r="N18" i="19" s="1"/>
  <c r="N36" i="19" a="1"/>
  <c r="N36" i="19" s="1"/>
  <c r="N22" i="19" a="1"/>
  <c r="N22" i="19" s="1"/>
  <c r="N12" i="19" a="1"/>
  <c r="N12" i="19" s="1"/>
  <c r="O8" i="19"/>
  <c r="N24" i="19" a="1"/>
  <c r="N24" i="19" s="1"/>
  <c r="N11" i="19"/>
  <c r="N14" i="19" a="1"/>
  <c r="N14" i="19" s="1"/>
  <c r="N20" i="19" a="1"/>
  <c r="N20" i="19" s="1"/>
  <c r="N10" i="19"/>
  <c r="N16" i="19" a="1"/>
  <c r="N16" i="19" s="1"/>
  <c r="K10" i="12"/>
  <c r="L8" i="12"/>
  <c r="K12" i="12" a="1"/>
  <c r="K12" i="12" s="1"/>
  <c r="K11" i="12"/>
  <c r="L48" i="12" a="1"/>
  <c r="L48" i="12" s="1"/>
  <c r="L47" i="12"/>
  <c r="L46" i="12"/>
  <c r="M44" i="12"/>
  <c r="L53" i="12"/>
  <c r="L52" i="12"/>
  <c r="M50" i="12"/>
  <c r="L54" i="12" a="1"/>
  <c r="L54" i="12" s="1"/>
  <c r="L42" i="12" a="1"/>
  <c r="L42" i="12" s="1"/>
  <c r="L41" i="12"/>
  <c r="L40" i="12"/>
  <c r="M38" i="12"/>
  <c r="L36" i="12" a="1"/>
  <c r="L36" i="12" s="1"/>
  <c r="L35" i="12"/>
  <c r="L34" i="12"/>
  <c r="M32" i="12"/>
  <c r="L71" i="12"/>
  <c r="L70" i="12"/>
  <c r="M68" i="12"/>
  <c r="L72" i="12" a="1"/>
  <c r="L72" i="12" s="1"/>
  <c r="L23" i="12"/>
  <c r="L22" i="12"/>
  <c r="M20" i="12"/>
  <c r="L24" i="12" a="1"/>
  <c r="L24" i="12" s="1"/>
  <c r="L30" i="12" a="1"/>
  <c r="L30" i="12" s="1"/>
  <c r="L29" i="12"/>
  <c r="L28" i="12"/>
  <c r="M26" i="12"/>
  <c r="L77" i="12"/>
  <c r="L76" i="12"/>
  <c r="M74" i="12"/>
  <c r="L78" i="12" a="1"/>
  <c r="L78" i="12" s="1"/>
  <c r="M18" i="12" a="1"/>
  <c r="M18" i="12" s="1"/>
  <c r="M16" i="12"/>
  <c r="N14" i="12"/>
  <c r="M17" i="12"/>
  <c r="L60" i="12" a="1"/>
  <c r="L60" i="12" s="1"/>
  <c r="L59" i="12"/>
  <c r="L58" i="12"/>
  <c r="M56" i="12"/>
  <c r="L38" i="8"/>
  <c r="K40" i="8"/>
  <c r="K41" i="8"/>
  <c r="K42" i="8" s="1" a="1"/>
  <c r="K42" i="8" s="1"/>
  <c r="L11" i="8"/>
  <c r="L12" i="8" s="1" a="1"/>
  <c r="L12" i="8" s="1"/>
  <c r="L10" i="8"/>
  <c r="M8" i="8"/>
  <c r="L25" i="8"/>
  <c r="M23" i="8"/>
  <c r="L26" i="8"/>
  <c r="L27" i="8" s="1" a="1"/>
  <c r="L27" i="8" s="1"/>
  <c r="M63" i="8"/>
  <c r="L65" i="8"/>
  <c r="L66" i="8"/>
  <c r="L67" i="8" s="1" a="1"/>
  <c r="L67" i="8" s="1"/>
  <c r="M20" i="8"/>
  <c r="M21" i="8"/>
  <c r="M22" i="8" s="1" a="1"/>
  <c r="M22" i="8" s="1"/>
  <c r="N18" i="8"/>
  <c r="L31" i="8"/>
  <c r="L32" i="8" s="1" a="1"/>
  <c r="L32" i="8" s="1"/>
  <c r="M28" i="8"/>
  <c r="L30" i="8"/>
  <c r="K16" i="8"/>
  <c r="K17" i="8" s="1" a="1"/>
  <c r="K17" i="8" s="1"/>
  <c r="L13" i="8"/>
  <c r="K15" i="8"/>
  <c r="L55" i="8"/>
  <c r="L56" i="8"/>
  <c r="L57" i="8" s="1" a="1"/>
  <c r="L57" i="8" s="1"/>
  <c r="M53" i="8"/>
  <c r="L50" i="8"/>
  <c r="M48" i="8"/>
  <c r="L51" i="8"/>
  <c r="L52" i="8" s="1" a="1"/>
  <c r="L52" i="8" s="1"/>
  <c r="K36" i="8"/>
  <c r="K37" i="8" s="1" a="1"/>
  <c r="K37" i="8" s="1"/>
  <c r="L33" i="8"/>
  <c r="K35" i="8"/>
  <c r="M43" i="8"/>
  <c r="L45" i="8"/>
  <c r="L46" i="8"/>
  <c r="L47" i="8" s="1" a="1"/>
  <c r="L47" i="8" s="1"/>
  <c r="M58" i="8"/>
  <c r="L61" i="8"/>
  <c r="L62" i="8" s="1" a="1"/>
  <c r="L62" i="8" s="1"/>
  <c r="L60" i="8"/>
  <c r="Q9" i="39" l="1"/>
  <c r="Q14" i="39" s="1"/>
  <c r="Q51" i="39" s="1"/>
  <c r="P13" i="39"/>
  <c r="P52" i="39" s="1"/>
  <c r="N12" i="36" a="1"/>
  <c r="N12" i="36" s="1"/>
  <c r="N30" i="36" a="1"/>
  <c r="N30" i="36" s="1"/>
  <c r="P28" i="36"/>
  <c r="Q26" i="36"/>
  <c r="P29" i="36"/>
  <c r="O22" i="36"/>
  <c r="P20" i="36"/>
  <c r="O23" i="36"/>
  <c r="O24" i="36" s="1" a="1"/>
  <c r="O24" i="36" s="1"/>
  <c r="O17" i="36"/>
  <c r="P14" i="36"/>
  <c r="O18" i="36" a="1"/>
  <c r="O18" i="36" s="1"/>
  <c r="O16" i="36"/>
  <c r="P34" i="36"/>
  <c r="Q32" i="36"/>
  <c r="P35" i="36"/>
  <c r="P36" i="36" s="1" a="1"/>
  <c r="P36" i="36" s="1"/>
  <c r="O46" i="36"/>
  <c r="P44" i="36"/>
  <c r="O47" i="36"/>
  <c r="O48" i="36" s="1" a="1"/>
  <c r="O48" i="36" s="1"/>
  <c r="O40" i="36"/>
  <c r="P38" i="36"/>
  <c r="O41" i="36"/>
  <c r="O42" i="36" s="1" a="1"/>
  <c r="O42" i="36" s="1"/>
  <c r="O58" i="36"/>
  <c r="P56" i="36"/>
  <c r="O59" i="36"/>
  <c r="O60" i="36" s="1" a="1"/>
  <c r="O60" i="36" s="1"/>
  <c r="Q52" i="36"/>
  <c r="R50" i="36"/>
  <c r="Q53" i="36"/>
  <c r="Q54" i="36" s="1" a="1"/>
  <c r="Q54" i="36" s="1"/>
  <c r="O77" i="36"/>
  <c r="O78" i="36" s="1" a="1"/>
  <c r="O78" i="36" s="1"/>
  <c r="O76" i="36"/>
  <c r="P74" i="36"/>
  <c r="Q64" i="36"/>
  <c r="Q65" i="36"/>
  <c r="Q66" i="36" s="1" a="1"/>
  <c r="Q66" i="36" s="1"/>
  <c r="R62" i="36"/>
  <c r="O10" i="36"/>
  <c r="O11" i="36"/>
  <c r="P8" i="36"/>
  <c r="O71" i="36"/>
  <c r="O72" i="36" s="1" a="1"/>
  <c r="O72" i="36" s="1"/>
  <c r="P68" i="36"/>
  <c r="O70" i="36"/>
  <c r="O22" i="35" a="1"/>
  <c r="O22" i="35" s="1"/>
  <c r="P18" i="35"/>
  <c r="O21" i="35"/>
  <c r="O20" i="35"/>
  <c r="O41" i="35"/>
  <c r="O40" i="35"/>
  <c r="O42" i="35" a="1"/>
  <c r="O42" i="35" s="1"/>
  <c r="P38" i="35"/>
  <c r="O61" i="35"/>
  <c r="O62" i="35" a="1"/>
  <c r="O62" i="35" s="1"/>
  <c r="O60" i="35"/>
  <c r="P58" i="35"/>
  <c r="P15" i="35"/>
  <c r="Q13" i="35"/>
  <c r="P17" i="35" a="1"/>
  <c r="P17" i="35" s="1"/>
  <c r="P16" i="35"/>
  <c r="Q43" i="35"/>
  <c r="P46" i="35"/>
  <c r="P47" i="35" a="1"/>
  <c r="P47" i="35" s="1"/>
  <c r="P45" i="35"/>
  <c r="P52" i="35" a="1"/>
  <c r="P52" i="35" s="1"/>
  <c r="Q48" i="35"/>
  <c r="P51" i="35"/>
  <c r="P50" i="35"/>
  <c r="Q23" i="35"/>
  <c r="P26" i="35"/>
  <c r="P27" i="35" a="1"/>
  <c r="P27" i="35" s="1"/>
  <c r="P25" i="35"/>
  <c r="O67" i="35" a="1"/>
  <c r="O67" i="35" s="1"/>
  <c r="P63" i="35"/>
  <c r="O66" i="35"/>
  <c r="O65" i="35"/>
  <c r="P12" i="35" a="1"/>
  <c r="P12" i="35" s="1"/>
  <c r="P11" i="35"/>
  <c r="P10" i="35"/>
  <c r="Q8" i="35"/>
  <c r="O57" i="35" a="1"/>
  <c r="O57" i="35" s="1"/>
  <c r="P53" i="35"/>
  <c r="O56" i="35"/>
  <c r="O55" i="35"/>
  <c r="O32" i="35" a="1"/>
  <c r="O32" i="35" s="1"/>
  <c r="O31" i="35"/>
  <c r="P28" i="35"/>
  <c r="O30" i="35"/>
  <c r="O37" i="35" a="1"/>
  <c r="O37" i="35" s="1"/>
  <c r="P33" i="35"/>
  <c r="O36" i="35"/>
  <c r="O35" i="35"/>
  <c r="M62" i="12"/>
  <c r="L66" i="12" a="1"/>
  <c r="L66" i="12" s="1"/>
  <c r="L64" i="12"/>
  <c r="L65" i="12"/>
  <c r="N38" i="20" a="1"/>
  <c r="N38" i="20" s="1"/>
  <c r="N34" i="20" a="1"/>
  <c r="N34" i="20" s="1"/>
  <c r="N32" i="20" a="1"/>
  <c r="N32" i="20" s="1"/>
  <c r="N28" i="20" a="1"/>
  <c r="N28" i="20" s="1"/>
  <c r="N36" i="20" a="1"/>
  <c r="N36" i="20" s="1"/>
  <c r="N30" i="20" a="1"/>
  <c r="N30" i="20" s="1"/>
  <c r="N20" i="20" a="1"/>
  <c r="N20" i="20" s="1"/>
  <c r="N26" i="20" a="1"/>
  <c r="N26" i="20" s="1"/>
  <c r="N24" i="20" a="1"/>
  <c r="N24" i="20" s="1"/>
  <c r="N22" i="20" a="1"/>
  <c r="N22" i="20" s="1"/>
  <c r="N18" i="20" a="1"/>
  <c r="N18" i="20" s="1"/>
  <c r="N40" i="20" a="1"/>
  <c r="N40" i="20" s="1"/>
  <c r="N16" i="20" a="1"/>
  <c r="N16" i="20" s="1"/>
  <c r="N14" i="20" a="1"/>
  <c r="N14" i="20" s="1"/>
  <c r="N12" i="20" a="1"/>
  <c r="N12" i="20" s="1"/>
  <c r="O11" i="20"/>
  <c r="P8" i="20"/>
  <c r="O10" i="20"/>
  <c r="O36" i="19" a="1"/>
  <c r="O36" i="19" s="1"/>
  <c r="O40" i="19" a="1"/>
  <c r="O40" i="19" s="1"/>
  <c r="O34" i="19" a="1"/>
  <c r="O34" i="19" s="1"/>
  <c r="O30" i="19" a="1"/>
  <c r="O30" i="19" s="1"/>
  <c r="O22" i="19" a="1"/>
  <c r="O22" i="19" s="1"/>
  <c r="O38" i="19" a="1"/>
  <c r="O38" i="19" s="1"/>
  <c r="O24" i="19" a="1"/>
  <c r="O24" i="19" s="1"/>
  <c r="O16" i="19" a="1"/>
  <c r="O16" i="19" s="1"/>
  <c r="O10" i="19"/>
  <c r="O32" i="19" a="1"/>
  <c r="O32" i="19" s="1"/>
  <c r="O26" i="19" a="1"/>
  <c r="O26" i="19" s="1"/>
  <c r="O20" i="19" a="1"/>
  <c r="O20" i="19" s="1"/>
  <c r="P8" i="19"/>
  <c r="O28" i="19" a="1"/>
  <c r="O28" i="19" s="1"/>
  <c r="O14" i="19" a="1"/>
  <c r="O14" i="19" s="1"/>
  <c r="O12" i="19" a="1"/>
  <c r="O12" i="19" s="1"/>
  <c r="O11" i="19"/>
  <c r="O18" i="19" a="1"/>
  <c r="O18" i="19" s="1"/>
  <c r="L10" i="12"/>
  <c r="M8" i="12"/>
  <c r="L12" i="12" a="1"/>
  <c r="L12" i="12" s="1"/>
  <c r="L11" i="12"/>
  <c r="M30" i="12" a="1"/>
  <c r="M30" i="12" s="1"/>
  <c r="M29" i="12"/>
  <c r="M28" i="12"/>
  <c r="N26" i="12"/>
  <c r="M48" i="12" a="1"/>
  <c r="M48" i="12" s="1"/>
  <c r="M47" i="12"/>
  <c r="M46" i="12"/>
  <c r="N44" i="12"/>
  <c r="M24" i="12" a="1"/>
  <c r="M24" i="12" s="1"/>
  <c r="M23" i="12"/>
  <c r="M22" i="12"/>
  <c r="N20" i="12"/>
  <c r="M54" i="12" a="1"/>
  <c r="M54" i="12" s="1"/>
  <c r="M52" i="12"/>
  <c r="N50" i="12"/>
  <c r="M53" i="12"/>
  <c r="M59" i="12"/>
  <c r="M58" i="12"/>
  <c r="N56" i="12"/>
  <c r="M60" i="12" a="1"/>
  <c r="M60" i="12" s="1"/>
  <c r="M36" i="12" a="1"/>
  <c r="M36" i="12" s="1"/>
  <c r="M35" i="12"/>
  <c r="M34" i="12"/>
  <c r="N32" i="12"/>
  <c r="M42" i="12" a="1"/>
  <c r="M42" i="12" s="1"/>
  <c r="M41" i="12"/>
  <c r="M40" i="12"/>
  <c r="N38" i="12"/>
  <c r="N18" i="12" a="1"/>
  <c r="N18" i="12" s="1"/>
  <c r="N17" i="12"/>
  <c r="N16" i="12"/>
  <c r="O14" i="12"/>
  <c r="M78" i="12" a="1"/>
  <c r="M78" i="12" s="1"/>
  <c r="M77" i="12"/>
  <c r="M76" i="12"/>
  <c r="N74" i="12"/>
  <c r="M72" i="12" a="1"/>
  <c r="M72" i="12" s="1"/>
  <c r="M71" i="12"/>
  <c r="M70" i="12"/>
  <c r="N68" i="12"/>
  <c r="L40" i="8"/>
  <c r="L41" i="8"/>
  <c r="L42" i="8" s="1" a="1"/>
  <c r="L42" i="8" s="1"/>
  <c r="M38" i="8"/>
  <c r="M45" i="8"/>
  <c r="M46" i="8"/>
  <c r="M47" i="8" s="1" a="1"/>
  <c r="M47" i="8" s="1"/>
  <c r="N43" i="8"/>
  <c r="N21" i="8"/>
  <c r="N22" i="8" s="1" a="1"/>
  <c r="N22" i="8" s="1"/>
  <c r="O18" i="8"/>
  <c r="N20" i="8"/>
  <c r="N63" i="8"/>
  <c r="M65" i="8"/>
  <c r="M66" i="8"/>
  <c r="M67" i="8" s="1" a="1"/>
  <c r="M67" i="8" s="1"/>
  <c r="N8" i="8"/>
  <c r="M10" i="8"/>
  <c r="M11" i="8"/>
  <c r="M12" i="8" s="1" a="1"/>
  <c r="M12" i="8" s="1"/>
  <c r="N58" i="8"/>
  <c r="M60" i="8"/>
  <c r="M61" i="8"/>
  <c r="M62" i="8" s="1" a="1"/>
  <c r="M62" i="8" s="1"/>
  <c r="M51" i="8"/>
  <c r="M52" i="8" s="1" a="1"/>
  <c r="M52" i="8" s="1"/>
  <c r="N48" i="8"/>
  <c r="M50" i="8"/>
  <c r="M33" i="8"/>
  <c r="L35" i="8"/>
  <c r="L36" i="8"/>
  <c r="L37" i="8" s="1" a="1"/>
  <c r="L37" i="8" s="1"/>
  <c r="N28" i="8"/>
  <c r="M30" i="8"/>
  <c r="M31" i="8"/>
  <c r="M32" i="8" s="1" a="1"/>
  <c r="M32" i="8" s="1"/>
  <c r="M56" i="8"/>
  <c r="M57" i="8" s="1" a="1"/>
  <c r="M57" i="8" s="1"/>
  <c r="M55" i="8"/>
  <c r="N53" i="8"/>
  <c r="M13" i="8"/>
  <c r="L15" i="8"/>
  <c r="L16" i="8"/>
  <c r="L17" i="8" s="1" a="1"/>
  <c r="L17" i="8" s="1"/>
  <c r="M26" i="8"/>
  <c r="M27" i="8" s="1" a="1"/>
  <c r="M27" i="8" s="1"/>
  <c r="N23" i="8"/>
  <c r="M25" i="8"/>
  <c r="R9" i="39" l="1"/>
  <c r="R14" i="39" s="1"/>
  <c r="R51" i="39" s="1"/>
  <c r="Q13" i="39"/>
  <c r="Q52" i="39" s="1"/>
  <c r="O12" i="36" a="1"/>
  <c r="O12" i="36" s="1"/>
  <c r="O30" i="36" a="1"/>
  <c r="O30" i="36" s="1"/>
  <c r="P11" i="36"/>
  <c r="Q8" i="36"/>
  <c r="P10" i="36"/>
  <c r="S62" i="36"/>
  <c r="R65" i="36"/>
  <c r="R66" i="36" s="1" a="1"/>
  <c r="R66" i="36" s="1"/>
  <c r="R64" i="36"/>
  <c r="P76" i="36"/>
  <c r="Q74" i="36"/>
  <c r="P77" i="36"/>
  <c r="P78" i="36" s="1" a="1"/>
  <c r="P78" i="36" s="1"/>
  <c r="P70" i="36"/>
  <c r="P71" i="36"/>
  <c r="P72" i="36" s="1" a="1"/>
  <c r="P72" i="36" s="1"/>
  <c r="Q68" i="36"/>
  <c r="S50" i="36"/>
  <c r="R53" i="36"/>
  <c r="R54" i="36" s="1" a="1"/>
  <c r="R54" i="36" s="1"/>
  <c r="R52" i="36"/>
  <c r="Q56" i="36"/>
  <c r="P59" i="36"/>
  <c r="P60" i="36" s="1" a="1"/>
  <c r="P60" i="36" s="1"/>
  <c r="P58" i="36"/>
  <c r="Q38" i="36"/>
  <c r="P41" i="36"/>
  <c r="P42" i="36" s="1" a="1"/>
  <c r="P42" i="36" s="1"/>
  <c r="P40" i="36"/>
  <c r="Q34" i="36"/>
  <c r="R32" i="36"/>
  <c r="Q35" i="36"/>
  <c r="Q36" i="36" s="1" a="1"/>
  <c r="Q36" i="36" s="1"/>
  <c r="P22" i="36"/>
  <c r="Q20" i="36"/>
  <c r="P23" i="36"/>
  <c r="P24" i="36" s="1" a="1"/>
  <c r="P24" i="36" s="1"/>
  <c r="Q44" i="36"/>
  <c r="P46" i="36"/>
  <c r="P47" i="36"/>
  <c r="P48" i="36" s="1" a="1"/>
  <c r="P48" i="36" s="1"/>
  <c r="P18" i="36" a="1"/>
  <c r="P18" i="36" s="1"/>
  <c r="P17" i="36"/>
  <c r="Q14" i="36"/>
  <c r="P16" i="36"/>
  <c r="Q28" i="36"/>
  <c r="R26" i="36"/>
  <c r="Q29" i="36"/>
  <c r="P20" i="35"/>
  <c r="Q18" i="35"/>
  <c r="P21" i="35"/>
  <c r="P22" i="35" a="1"/>
  <c r="P22" i="35" s="1"/>
  <c r="P40" i="35"/>
  <c r="P42" i="35" a="1"/>
  <c r="P42" i="35" s="1"/>
  <c r="P41" i="35"/>
  <c r="Q38" i="35"/>
  <c r="Q12" i="35" a="1"/>
  <c r="Q12" i="35" s="1"/>
  <c r="Q11" i="35"/>
  <c r="Q10" i="35"/>
  <c r="R8" i="35"/>
  <c r="Q58" i="35"/>
  <c r="P62" i="35" a="1"/>
  <c r="P62" i="35" s="1"/>
  <c r="P60" i="35"/>
  <c r="P61" i="35"/>
  <c r="P31" i="35"/>
  <c r="P30" i="35"/>
  <c r="P32" i="35" a="1"/>
  <c r="P32" i="35" s="1"/>
  <c r="Q28" i="35"/>
  <c r="P36" i="35"/>
  <c r="P35" i="35"/>
  <c r="P37" i="35" a="1"/>
  <c r="P37" i="35" s="1"/>
  <c r="Q33" i="35"/>
  <c r="P56" i="35"/>
  <c r="P55" i="35"/>
  <c r="P57" i="35" a="1"/>
  <c r="P57" i="35" s="1"/>
  <c r="Q53" i="35"/>
  <c r="Q63" i="35"/>
  <c r="P66" i="35"/>
  <c r="P67" i="35" a="1"/>
  <c r="P67" i="35" s="1"/>
  <c r="P65" i="35"/>
  <c r="R48" i="35"/>
  <c r="Q51" i="35"/>
  <c r="Q52" i="35" a="1"/>
  <c r="Q52" i="35" s="1"/>
  <c r="Q50" i="35"/>
  <c r="Q17" i="35" a="1"/>
  <c r="Q17" i="35" s="1"/>
  <c r="Q16" i="35"/>
  <c r="Q15" i="35"/>
  <c r="R13" i="35"/>
  <c r="Q26" i="35"/>
  <c r="Q27" i="35" a="1"/>
  <c r="Q27" i="35" s="1"/>
  <c r="Q25" i="35"/>
  <c r="R23" i="35"/>
  <c r="R43" i="35"/>
  <c r="Q47" i="35" a="1"/>
  <c r="Q47" i="35" s="1"/>
  <c r="Q46" i="35"/>
  <c r="Q45" i="35"/>
  <c r="M66" i="12" a="1"/>
  <c r="M66" i="12" s="1"/>
  <c r="M65" i="12"/>
  <c r="N62" i="12"/>
  <c r="M64" i="12"/>
  <c r="O40" i="20" a="1"/>
  <c r="O40" i="20" s="1"/>
  <c r="O30" i="20" a="1"/>
  <c r="O30" i="20" s="1"/>
  <c r="O38" i="20" a="1"/>
  <c r="O38" i="20" s="1"/>
  <c r="O32" i="20" a="1"/>
  <c r="O32" i="20" s="1"/>
  <c r="O28" i="20" a="1"/>
  <c r="O28" i="20" s="1"/>
  <c r="O20" i="20" a="1"/>
  <c r="O20" i="20" s="1"/>
  <c r="O36" i="20" a="1"/>
  <c r="O36" i="20" s="1"/>
  <c r="O26" i="20" a="1"/>
  <c r="O26" i="20" s="1"/>
  <c r="O24" i="20" a="1"/>
  <c r="O24" i="20" s="1"/>
  <c r="O34" i="20" a="1"/>
  <c r="O34" i="20" s="1"/>
  <c r="O22" i="20" a="1"/>
  <c r="O22" i="20" s="1"/>
  <c r="O18" i="20" a="1"/>
  <c r="O18" i="20" s="1"/>
  <c r="O14" i="20" a="1"/>
  <c r="O14" i="20" s="1"/>
  <c r="O16" i="20" a="1"/>
  <c r="O16" i="20" s="1"/>
  <c r="O12" i="20" a="1"/>
  <c r="O12" i="20" s="1"/>
  <c r="P10" i="20"/>
  <c r="P11" i="20"/>
  <c r="Q8" i="20"/>
  <c r="P40" i="19" a="1"/>
  <c r="P40" i="19" s="1"/>
  <c r="P32" i="19" a="1"/>
  <c r="P32" i="19" s="1"/>
  <c r="P36" i="19" a="1"/>
  <c r="P36" i="19" s="1"/>
  <c r="P26" i="19" a="1"/>
  <c r="P26" i="19" s="1"/>
  <c r="P38" i="19" a="1"/>
  <c r="P38" i="19" s="1"/>
  <c r="P20" i="19" a="1"/>
  <c r="P20" i="19" s="1"/>
  <c r="P18" i="19" a="1"/>
  <c r="P18" i="19" s="1"/>
  <c r="P28" i="19" a="1"/>
  <c r="P28" i="19" s="1"/>
  <c r="P12" i="19" a="1"/>
  <c r="P12" i="19" s="1"/>
  <c r="P11" i="19"/>
  <c r="P34" i="19" a="1"/>
  <c r="P34" i="19" s="1"/>
  <c r="P30" i="19" a="1"/>
  <c r="P30" i="19" s="1"/>
  <c r="P22" i="19" a="1"/>
  <c r="P22" i="19" s="1"/>
  <c r="P14" i="19" a="1"/>
  <c r="P14" i="19" s="1"/>
  <c r="P10" i="19"/>
  <c r="P24" i="19" a="1"/>
  <c r="P24" i="19" s="1"/>
  <c r="Q8" i="19"/>
  <c r="P16" i="19" a="1"/>
  <c r="P16" i="19" s="1"/>
  <c r="M12" i="12" a="1"/>
  <c r="M12" i="12" s="1"/>
  <c r="M11" i="12"/>
  <c r="M10" i="12"/>
  <c r="N8" i="12"/>
  <c r="N24" i="12" a="1"/>
  <c r="N24" i="12" s="1"/>
  <c r="N23" i="12"/>
  <c r="N22" i="12"/>
  <c r="O20" i="12"/>
  <c r="N48" i="12" a="1"/>
  <c r="N48" i="12" s="1"/>
  <c r="N47" i="12"/>
  <c r="N46" i="12"/>
  <c r="O44" i="12"/>
  <c r="N30" i="12" a="1"/>
  <c r="N30" i="12" s="1"/>
  <c r="N29" i="12"/>
  <c r="N28" i="12"/>
  <c r="O26" i="12"/>
  <c r="N71" i="12"/>
  <c r="N70" i="12"/>
  <c r="O68" i="12"/>
  <c r="N72" i="12" a="1"/>
  <c r="N72" i="12" s="1"/>
  <c r="O18" i="12" a="1"/>
  <c r="O18" i="12" s="1"/>
  <c r="O17" i="12"/>
  <c r="O16" i="12"/>
  <c r="P14" i="12"/>
  <c r="N42" i="12" a="1"/>
  <c r="N42" i="12" s="1"/>
  <c r="N41" i="12"/>
  <c r="N40" i="12"/>
  <c r="O38" i="12"/>
  <c r="N36" i="12" a="1"/>
  <c r="N36" i="12" s="1"/>
  <c r="N35" i="12"/>
  <c r="N34" i="12"/>
  <c r="O32" i="12"/>
  <c r="N60" i="12" a="1"/>
  <c r="N60" i="12" s="1"/>
  <c r="N59" i="12"/>
  <c r="N58" i="12"/>
  <c r="O56" i="12"/>
  <c r="N52" i="12"/>
  <c r="O50" i="12"/>
  <c r="N54" i="12" a="1"/>
  <c r="N54" i="12" s="1"/>
  <c r="N53" i="12"/>
  <c r="N77" i="12"/>
  <c r="N76" i="12"/>
  <c r="O74" i="12"/>
  <c r="N78" i="12" a="1"/>
  <c r="N78" i="12" s="1"/>
  <c r="M40" i="8"/>
  <c r="M41" i="8"/>
  <c r="M42" i="8" s="1" a="1"/>
  <c r="M42" i="8" s="1"/>
  <c r="N38" i="8"/>
  <c r="N50" i="8"/>
  <c r="N51" i="8"/>
  <c r="N52" i="8" s="1" a="1"/>
  <c r="N52" i="8" s="1"/>
  <c r="O48" i="8"/>
  <c r="N60" i="8"/>
  <c r="N61" i="8"/>
  <c r="N62" i="8" s="1" a="1"/>
  <c r="N62" i="8" s="1"/>
  <c r="O58" i="8"/>
  <c r="N25" i="8"/>
  <c r="N26" i="8"/>
  <c r="N27" i="8" s="1" a="1"/>
  <c r="N27" i="8" s="1"/>
  <c r="O23" i="8"/>
  <c r="N13" i="8"/>
  <c r="M15" i="8"/>
  <c r="M16" i="8"/>
  <c r="M17" i="8" s="1" a="1"/>
  <c r="M17" i="8" s="1"/>
  <c r="N46" i="8"/>
  <c r="N47" i="8" s="1" a="1"/>
  <c r="N47" i="8" s="1"/>
  <c r="N45" i="8"/>
  <c r="O43" i="8"/>
  <c r="O53" i="8"/>
  <c r="N56" i="8"/>
  <c r="N57" i="8" s="1" a="1"/>
  <c r="N57" i="8" s="1"/>
  <c r="N55" i="8"/>
  <c r="N33" i="8"/>
  <c r="M35" i="8"/>
  <c r="M36" i="8"/>
  <c r="M37" i="8" s="1" a="1"/>
  <c r="M37" i="8" s="1"/>
  <c r="N65" i="8"/>
  <c r="N66" i="8"/>
  <c r="N67" i="8" s="1" a="1"/>
  <c r="N67" i="8" s="1"/>
  <c r="O63" i="8"/>
  <c r="O28" i="8"/>
  <c r="N30" i="8"/>
  <c r="N31" i="8"/>
  <c r="N32" i="8" s="1" a="1"/>
  <c r="N32" i="8" s="1"/>
  <c r="O8" i="8"/>
  <c r="N10" i="8"/>
  <c r="N11" i="8"/>
  <c r="N12" i="8" s="1" a="1"/>
  <c r="N12" i="8" s="1"/>
  <c r="P18" i="8"/>
  <c r="O20" i="8"/>
  <c r="O21" i="8"/>
  <c r="O22" i="8" s="1" a="1"/>
  <c r="O22" i="8" s="1"/>
  <c r="S9" i="39" l="1"/>
  <c r="S14" i="39" s="1"/>
  <c r="S51" i="39" s="1"/>
  <c r="R13" i="39"/>
  <c r="R52" i="39" s="1"/>
  <c r="P12" i="36" a="1"/>
  <c r="P12" i="36" s="1"/>
  <c r="P30" i="36" a="1"/>
  <c r="P30" i="36" s="1"/>
  <c r="Q17" i="36"/>
  <c r="R14" i="36"/>
  <c r="Q16" i="36"/>
  <c r="Q18" i="36" a="1"/>
  <c r="Q18" i="36" s="1"/>
  <c r="Q70" i="36"/>
  <c r="Q71" i="36"/>
  <c r="Q72" i="36" s="1" a="1"/>
  <c r="Q72" i="36" s="1"/>
  <c r="R68" i="36"/>
  <c r="Q76" i="36"/>
  <c r="Q77" i="36"/>
  <c r="Q78" i="36" s="1" a="1"/>
  <c r="Q78" i="36" s="1"/>
  <c r="R74" i="36"/>
  <c r="R20" i="36"/>
  <c r="Q23" i="36"/>
  <c r="Q24" i="36" s="1" a="1"/>
  <c r="Q24" i="36" s="1"/>
  <c r="Q22" i="36"/>
  <c r="S32" i="36"/>
  <c r="R35" i="36"/>
  <c r="R36" i="36" s="1" a="1"/>
  <c r="R36" i="36" s="1"/>
  <c r="R34" i="36"/>
  <c r="Q41" i="36"/>
  <c r="Q42" i="36" s="1" a="1"/>
  <c r="Q42" i="36" s="1"/>
  <c r="Q40" i="36"/>
  <c r="R38" i="36"/>
  <c r="Q11" i="36"/>
  <c r="R8" i="36"/>
  <c r="Q10" i="36"/>
  <c r="S26" i="36"/>
  <c r="R29" i="36"/>
  <c r="R28" i="36"/>
  <c r="Q47" i="36"/>
  <c r="Q48" i="36" s="1" a="1"/>
  <c r="Q48" i="36" s="1"/>
  <c r="Q46" i="36"/>
  <c r="R44" i="36"/>
  <c r="Q59" i="36"/>
  <c r="Q60" i="36" s="1" a="1"/>
  <c r="Q60" i="36" s="1"/>
  <c r="R56" i="36"/>
  <c r="Q58" i="36"/>
  <c r="S53" i="36"/>
  <c r="S54" i="36" s="1" a="1"/>
  <c r="S54" i="36" s="1"/>
  <c r="T50" i="36"/>
  <c r="S52" i="36"/>
  <c r="S65" i="36"/>
  <c r="S66" i="36" s="1" a="1"/>
  <c r="S66" i="36" s="1"/>
  <c r="S64" i="36"/>
  <c r="T62" i="36"/>
  <c r="R18" i="35"/>
  <c r="Q21" i="35"/>
  <c r="Q22" i="35" a="1"/>
  <c r="Q22" i="35" s="1"/>
  <c r="Q20" i="35"/>
  <c r="Q41" i="35"/>
  <c r="Q40" i="35"/>
  <c r="Q42" i="35" a="1"/>
  <c r="Q42" i="35" s="1"/>
  <c r="R38" i="35"/>
  <c r="R17" i="35" a="1"/>
  <c r="R17" i="35" s="1"/>
  <c r="R16" i="35"/>
  <c r="R15" i="35"/>
  <c r="S13" i="35"/>
  <c r="Q57" i="35" a="1"/>
  <c r="Q57" i="35" s="1"/>
  <c r="Q55" i="35"/>
  <c r="Q56" i="35"/>
  <c r="R53" i="35"/>
  <c r="Q31" i="35"/>
  <c r="Q32" i="35" a="1"/>
  <c r="Q32" i="35" s="1"/>
  <c r="Q30" i="35"/>
  <c r="R28" i="35"/>
  <c r="R11" i="35"/>
  <c r="R10" i="35"/>
  <c r="S8" i="35"/>
  <c r="R12" i="35" a="1"/>
  <c r="R12" i="35" s="1"/>
  <c r="R25" i="35"/>
  <c r="R27" i="35" a="1"/>
  <c r="R27" i="35" s="1"/>
  <c r="R26" i="35"/>
  <c r="S23" i="35"/>
  <c r="Q37" i="35" a="1"/>
  <c r="Q37" i="35" s="1"/>
  <c r="Q35" i="35"/>
  <c r="R33" i="35"/>
  <c r="Q36" i="35"/>
  <c r="R47" i="35" a="1"/>
  <c r="R47" i="35" s="1"/>
  <c r="R46" i="35"/>
  <c r="R45" i="35"/>
  <c r="S43" i="35"/>
  <c r="R52" i="35" a="1"/>
  <c r="R52" i="35" s="1"/>
  <c r="R51" i="35"/>
  <c r="R50" i="35"/>
  <c r="S48" i="35"/>
  <c r="Q66" i="35"/>
  <c r="Q67" i="35" a="1"/>
  <c r="Q67" i="35" s="1"/>
  <c r="Q65" i="35"/>
  <c r="R63" i="35"/>
  <c r="Q61" i="35"/>
  <c r="Q60" i="35"/>
  <c r="Q62" i="35" a="1"/>
  <c r="Q62" i="35" s="1"/>
  <c r="R58" i="35"/>
  <c r="O62" i="12"/>
  <c r="N66" i="12" a="1"/>
  <c r="N66" i="12" s="1"/>
  <c r="N65" i="12"/>
  <c r="N64" i="12"/>
  <c r="P32" i="20" a="1"/>
  <c r="P32" i="20" s="1"/>
  <c r="P28" i="20" a="1"/>
  <c r="P28" i="20" s="1"/>
  <c r="P36" i="20" a="1"/>
  <c r="P36" i="20" s="1"/>
  <c r="P34" i="20" a="1"/>
  <c r="P34" i="20" s="1"/>
  <c r="P40" i="20" a="1"/>
  <c r="P40" i="20" s="1"/>
  <c r="P30" i="20" a="1"/>
  <c r="P30" i="20" s="1"/>
  <c r="P26" i="20" a="1"/>
  <c r="P26" i="20" s="1"/>
  <c r="P24" i="20" a="1"/>
  <c r="P24" i="20" s="1"/>
  <c r="P22" i="20" a="1"/>
  <c r="P22" i="20" s="1"/>
  <c r="P18" i="20" a="1"/>
  <c r="P18" i="20" s="1"/>
  <c r="P38" i="20" a="1"/>
  <c r="P38" i="20" s="1"/>
  <c r="P20" i="20" a="1"/>
  <c r="P20" i="20" s="1"/>
  <c r="P12" i="20" a="1"/>
  <c r="P12" i="20" s="1"/>
  <c r="P16" i="20" a="1"/>
  <c r="P16" i="20" s="1"/>
  <c r="P14" i="20" a="1"/>
  <c r="P14" i="20" s="1"/>
  <c r="Q11" i="20"/>
  <c r="R8" i="20"/>
  <c r="Q10" i="20"/>
  <c r="Q36" i="19" a="1"/>
  <c r="Q36" i="19" s="1"/>
  <c r="Q32" i="19" a="1"/>
  <c r="Q32" i="19" s="1"/>
  <c r="Q30" i="19" a="1"/>
  <c r="Q30" i="19" s="1"/>
  <c r="Q22" i="19" a="1"/>
  <c r="Q22" i="19" s="1"/>
  <c r="Q40" i="19" a="1"/>
  <c r="Q40" i="19" s="1"/>
  <c r="Q34" i="19" a="1"/>
  <c r="Q34" i="19" s="1"/>
  <c r="Q28" i="19" a="1"/>
  <c r="Q28" i="19" s="1"/>
  <c r="Q24" i="19" a="1"/>
  <c r="Q24" i="19" s="1"/>
  <c r="Q16" i="19" a="1"/>
  <c r="Q16" i="19" s="1"/>
  <c r="Q38" i="19" a="1"/>
  <c r="Q38" i="19" s="1"/>
  <c r="Q11" i="19"/>
  <c r="Q12" i="19" a="1"/>
  <c r="Q12" i="19" s="1"/>
  <c r="Q20" i="19" a="1"/>
  <c r="Q20" i="19" s="1"/>
  <c r="Q10" i="19"/>
  <c r="Q18" i="19" a="1"/>
  <c r="Q18" i="19" s="1"/>
  <c r="R8" i="19"/>
  <c r="Q26" i="19" a="1"/>
  <c r="Q26" i="19" s="1"/>
  <c r="Q14" i="19" a="1"/>
  <c r="Q14" i="19" s="1"/>
  <c r="N11" i="12"/>
  <c r="N10" i="12"/>
  <c r="O8" i="12"/>
  <c r="N12" i="12" a="1"/>
  <c r="N12" i="12" s="1"/>
  <c r="O60" i="12" a="1"/>
  <c r="O60" i="12" s="1"/>
  <c r="O59" i="12"/>
  <c r="O58" i="12"/>
  <c r="P56" i="12"/>
  <c r="O36" i="12" a="1"/>
  <c r="O36" i="12" s="1"/>
  <c r="O35" i="12"/>
  <c r="O34" i="12"/>
  <c r="P32" i="12"/>
  <c r="O42" i="12" a="1"/>
  <c r="O42" i="12" s="1"/>
  <c r="O41" i="12"/>
  <c r="O40" i="12"/>
  <c r="P38" i="12"/>
  <c r="P17" i="12"/>
  <c r="P16" i="12"/>
  <c r="Q14" i="12"/>
  <c r="P18" i="12" a="1"/>
  <c r="P18" i="12" s="1"/>
  <c r="O72" i="12" a="1"/>
  <c r="O72" i="12" s="1"/>
  <c r="O71" i="12"/>
  <c r="O70" i="12"/>
  <c r="P68" i="12"/>
  <c r="O30" i="12" a="1"/>
  <c r="O30" i="12" s="1"/>
  <c r="O29" i="12"/>
  <c r="O28" i="12"/>
  <c r="P26" i="12"/>
  <c r="O48" i="12" a="1"/>
  <c r="O48" i="12" s="1"/>
  <c r="O47" i="12"/>
  <c r="O46" i="12"/>
  <c r="P44" i="12"/>
  <c r="O24" i="12" a="1"/>
  <c r="O24" i="12" s="1"/>
  <c r="O23" i="12"/>
  <c r="O22" i="12"/>
  <c r="P20" i="12"/>
  <c r="O78" i="12" a="1"/>
  <c r="O78" i="12" s="1"/>
  <c r="O77" i="12"/>
  <c r="O76" i="12"/>
  <c r="P74" i="12"/>
  <c r="O54" i="12" a="1"/>
  <c r="O54" i="12" s="1"/>
  <c r="O53" i="12"/>
  <c r="O52" i="12"/>
  <c r="P50" i="12"/>
  <c r="N40" i="8"/>
  <c r="N41" i="8"/>
  <c r="N42" i="8" s="1" a="1"/>
  <c r="N42" i="8" s="1"/>
  <c r="O38" i="8"/>
  <c r="O10" i="8"/>
  <c r="O11" i="8"/>
  <c r="O12" i="8" s="1" a="1"/>
  <c r="O12" i="8" s="1"/>
  <c r="P8" i="8"/>
  <c r="O66" i="8"/>
  <c r="O67" i="8" s="1" a="1"/>
  <c r="O67" i="8" s="1"/>
  <c r="P63" i="8"/>
  <c r="O65" i="8"/>
  <c r="P53" i="8"/>
  <c r="O55" i="8"/>
  <c r="O56" i="8"/>
  <c r="O57" i="8" s="1" a="1"/>
  <c r="O57" i="8" s="1"/>
  <c r="N35" i="8"/>
  <c r="N36" i="8"/>
  <c r="N37" i="8" s="1" a="1"/>
  <c r="N37" i="8" s="1"/>
  <c r="O33" i="8"/>
  <c r="P43" i="8"/>
  <c r="O45" i="8"/>
  <c r="O46" i="8"/>
  <c r="O47" i="8" s="1" a="1"/>
  <c r="O47" i="8" s="1"/>
  <c r="P48" i="8"/>
  <c r="O51" i="8"/>
  <c r="O52" i="8" s="1" a="1"/>
  <c r="O52" i="8" s="1"/>
  <c r="O50" i="8"/>
  <c r="N15" i="8"/>
  <c r="N16" i="8"/>
  <c r="N17" i="8" s="1" a="1"/>
  <c r="N17" i="8" s="1"/>
  <c r="O13" i="8"/>
  <c r="O61" i="8"/>
  <c r="O62" i="8" s="1" a="1"/>
  <c r="O62" i="8" s="1"/>
  <c r="P58" i="8"/>
  <c r="O60" i="8"/>
  <c r="Q18" i="8"/>
  <c r="P20" i="8"/>
  <c r="P21" i="8"/>
  <c r="P22" i="8" s="1" a="1"/>
  <c r="P22" i="8" s="1"/>
  <c r="O30" i="8"/>
  <c r="O31" i="8"/>
  <c r="O32" i="8" s="1" a="1"/>
  <c r="O32" i="8" s="1"/>
  <c r="P28" i="8"/>
  <c r="O26" i="8"/>
  <c r="O27" i="8" s="1" a="1"/>
  <c r="O27" i="8" s="1"/>
  <c r="O25" i="8"/>
  <c r="P23" i="8"/>
  <c r="T9" i="39" l="1"/>
  <c r="T14" i="39" s="1"/>
  <c r="T51" i="39" s="1"/>
  <c r="S13" i="39"/>
  <c r="S52" i="39" s="1"/>
  <c r="Q12" i="36" a="1"/>
  <c r="Q12" i="36" s="1"/>
  <c r="Q30" i="36" a="1"/>
  <c r="Q30" i="36" s="1"/>
  <c r="S29" i="36"/>
  <c r="S28" i="36"/>
  <c r="T26" i="36"/>
  <c r="T64" i="36"/>
  <c r="T65" i="36"/>
  <c r="T66" i="36" s="1" a="1"/>
  <c r="T66" i="36" s="1"/>
  <c r="U62" i="36"/>
  <c r="R47" i="36"/>
  <c r="R48" i="36" s="1" a="1"/>
  <c r="R48" i="36" s="1"/>
  <c r="R46" i="36"/>
  <c r="S44" i="36"/>
  <c r="R40" i="36"/>
  <c r="S38" i="36"/>
  <c r="R41" i="36"/>
  <c r="R42" i="36" s="1" a="1"/>
  <c r="R42" i="36" s="1"/>
  <c r="R77" i="36"/>
  <c r="R78" i="36" s="1" a="1"/>
  <c r="R78" i="36" s="1"/>
  <c r="R76" i="36"/>
  <c r="S74" i="36"/>
  <c r="S68" i="36"/>
  <c r="R71" i="36"/>
  <c r="R72" i="36" s="1" a="1"/>
  <c r="R72" i="36" s="1"/>
  <c r="R70" i="36"/>
  <c r="T52" i="36"/>
  <c r="U50" i="36"/>
  <c r="T53" i="36"/>
  <c r="T54" i="36" s="1" a="1"/>
  <c r="T54" i="36" s="1"/>
  <c r="R58" i="36"/>
  <c r="R59" i="36"/>
  <c r="R60" i="36" s="1" a="1"/>
  <c r="R60" i="36" s="1"/>
  <c r="S56" i="36"/>
  <c r="R11" i="36"/>
  <c r="S8" i="36"/>
  <c r="R10" i="36"/>
  <c r="S35" i="36"/>
  <c r="S36" i="36" s="1" a="1"/>
  <c r="S36" i="36" s="1"/>
  <c r="S34" i="36"/>
  <c r="T32" i="36"/>
  <c r="R23" i="36"/>
  <c r="R24" i="36" s="1" a="1"/>
  <c r="R24" i="36" s="1"/>
  <c r="R22" i="36"/>
  <c r="S20" i="36"/>
  <c r="R16" i="36"/>
  <c r="R18" i="36" a="1"/>
  <c r="R18" i="36" s="1"/>
  <c r="R17" i="36"/>
  <c r="S14" i="36"/>
  <c r="R22" i="35" a="1"/>
  <c r="R22" i="35" s="1"/>
  <c r="R21" i="35"/>
  <c r="R20" i="35"/>
  <c r="S18" i="35"/>
  <c r="R42" i="35" a="1"/>
  <c r="R42" i="35" s="1"/>
  <c r="R41" i="35"/>
  <c r="R40" i="35"/>
  <c r="S38" i="35"/>
  <c r="R60" i="35"/>
  <c r="S58" i="35"/>
  <c r="R62" i="35" a="1"/>
  <c r="R62" i="35" s="1"/>
  <c r="R61" i="35"/>
  <c r="R65" i="35"/>
  <c r="S63" i="35"/>
  <c r="R66" i="35"/>
  <c r="R67" i="35" a="1"/>
  <c r="R67" i="35" s="1"/>
  <c r="S50" i="35"/>
  <c r="S52" i="35" a="1"/>
  <c r="S52" i="35" s="1"/>
  <c r="T48" i="35"/>
  <c r="S51" i="35"/>
  <c r="S45" i="35"/>
  <c r="S47" i="35" a="1"/>
  <c r="S47" i="35" s="1"/>
  <c r="T43" i="35"/>
  <c r="S46" i="35"/>
  <c r="S27" i="35" a="1"/>
  <c r="S27" i="35" s="1"/>
  <c r="T23" i="35"/>
  <c r="S25" i="35"/>
  <c r="S26" i="35"/>
  <c r="R30" i="35"/>
  <c r="S28" i="35"/>
  <c r="R31" i="35"/>
  <c r="R32" i="35" a="1"/>
  <c r="R32" i="35" s="1"/>
  <c r="R55" i="35"/>
  <c r="S53" i="35"/>
  <c r="R57" i="35" a="1"/>
  <c r="R57" i="35" s="1"/>
  <c r="R56" i="35"/>
  <c r="S16" i="35"/>
  <c r="S15" i="35"/>
  <c r="T13" i="35"/>
  <c r="S17" i="35" a="1"/>
  <c r="S17" i="35" s="1"/>
  <c r="S33" i="35"/>
  <c r="R37" i="35" a="1"/>
  <c r="R37" i="35" s="1"/>
  <c r="R36" i="35"/>
  <c r="R35" i="35"/>
  <c r="S12" i="35" a="1"/>
  <c r="S12" i="35" s="1"/>
  <c r="S11" i="35"/>
  <c r="S10" i="35"/>
  <c r="T8" i="35"/>
  <c r="O66" i="12" a="1"/>
  <c r="O66" i="12" s="1"/>
  <c r="O65" i="12"/>
  <c r="P62" i="12"/>
  <c r="O64" i="12"/>
  <c r="Q38" i="20" a="1"/>
  <c r="Q38" i="20" s="1"/>
  <c r="Q32" i="20" a="1"/>
  <c r="Q32" i="20" s="1"/>
  <c r="Q28" i="20" a="1"/>
  <c r="Q28" i="20" s="1"/>
  <c r="Q36" i="20" a="1"/>
  <c r="Q36" i="20" s="1"/>
  <c r="Q40" i="20" a="1"/>
  <c r="Q40" i="20" s="1"/>
  <c r="Q34" i="20" a="1"/>
  <c r="Q34" i="20" s="1"/>
  <c r="Q20" i="20" a="1"/>
  <c r="Q20" i="20" s="1"/>
  <c r="Q30" i="20" a="1"/>
  <c r="Q30" i="20" s="1"/>
  <c r="Q26" i="20" a="1"/>
  <c r="Q26" i="20" s="1"/>
  <c r="Q24" i="20" a="1"/>
  <c r="Q24" i="20" s="1"/>
  <c r="Q22" i="20" a="1"/>
  <c r="Q22" i="20" s="1"/>
  <c r="Q18" i="20" a="1"/>
  <c r="Q18" i="20" s="1"/>
  <c r="Q16" i="20" a="1"/>
  <c r="Q16" i="20" s="1"/>
  <c r="Q14" i="20" a="1"/>
  <c r="Q14" i="20" s="1"/>
  <c r="Q12" i="20" a="1"/>
  <c r="Q12" i="20" s="1"/>
  <c r="R10" i="20"/>
  <c r="R11" i="20"/>
  <c r="S8" i="20"/>
  <c r="R40" i="19" a="1"/>
  <c r="R40" i="19" s="1"/>
  <c r="R32" i="19" a="1"/>
  <c r="R32" i="19" s="1"/>
  <c r="R26" i="19" a="1"/>
  <c r="R26" i="19" s="1"/>
  <c r="R18" i="19" a="1"/>
  <c r="R18" i="19" s="1"/>
  <c r="R36" i="19" a="1"/>
  <c r="R36" i="19" s="1"/>
  <c r="R28" i="19" a="1"/>
  <c r="R28" i="19" s="1"/>
  <c r="R38" i="19" a="1"/>
  <c r="R38" i="19" s="1"/>
  <c r="R30" i="19" a="1"/>
  <c r="R30" i="19" s="1"/>
  <c r="R24" i="19" a="1"/>
  <c r="R24" i="19" s="1"/>
  <c r="R34" i="19" a="1"/>
  <c r="R34" i="19" s="1"/>
  <c r="R20" i="19" a="1"/>
  <c r="R20" i="19" s="1"/>
  <c r="R12" i="19" a="1"/>
  <c r="R12" i="19" s="1"/>
  <c r="S8" i="19"/>
  <c r="R22" i="19" a="1"/>
  <c r="R22" i="19" s="1"/>
  <c r="R11" i="19"/>
  <c r="R14" i="19" a="1"/>
  <c r="R14" i="19" s="1"/>
  <c r="R10" i="19"/>
  <c r="R16" i="19" a="1"/>
  <c r="R16" i="19" s="1"/>
  <c r="O12" i="12" a="1"/>
  <c r="O12" i="12" s="1"/>
  <c r="O11" i="12"/>
  <c r="O10" i="12"/>
  <c r="P8" i="12"/>
  <c r="P42" i="12" a="1"/>
  <c r="P42" i="12" s="1"/>
  <c r="P41" i="12"/>
  <c r="P40" i="12"/>
  <c r="Q38" i="12"/>
  <c r="P36" i="12" a="1"/>
  <c r="P36" i="12" s="1"/>
  <c r="P35" i="12"/>
  <c r="P34" i="12"/>
  <c r="Q32" i="12"/>
  <c r="P60" i="12" a="1"/>
  <c r="P60" i="12" s="1"/>
  <c r="P59" i="12"/>
  <c r="P58" i="12"/>
  <c r="Q56" i="12"/>
  <c r="Q18" i="12" a="1"/>
  <c r="Q18" i="12" s="1"/>
  <c r="Q17" i="12"/>
  <c r="Q16" i="12"/>
  <c r="R14" i="12"/>
  <c r="P53" i="12"/>
  <c r="P52" i="12"/>
  <c r="P54" i="12" a="1"/>
  <c r="P54" i="12" s="1"/>
  <c r="Q50" i="12"/>
  <c r="P77" i="12"/>
  <c r="P76" i="12"/>
  <c r="Q74" i="12"/>
  <c r="P78" i="12" a="1"/>
  <c r="P78" i="12" s="1"/>
  <c r="P23" i="12"/>
  <c r="P22" i="12"/>
  <c r="Q20" i="12"/>
  <c r="P24" i="12" a="1"/>
  <c r="P24" i="12" s="1"/>
  <c r="P48" i="12" a="1"/>
  <c r="P48" i="12" s="1"/>
  <c r="P47" i="12"/>
  <c r="P46" i="12"/>
  <c r="Q44" i="12"/>
  <c r="P29" i="12"/>
  <c r="P28" i="12"/>
  <c r="Q26" i="12"/>
  <c r="P30" i="12" a="1"/>
  <c r="P30" i="12" s="1"/>
  <c r="P71" i="12"/>
  <c r="P70" i="12"/>
  <c r="Q68" i="12"/>
  <c r="P72" i="12" a="1"/>
  <c r="P72" i="12" s="1"/>
  <c r="O41" i="8"/>
  <c r="O42" i="8" s="1" a="1"/>
  <c r="O42" i="8" s="1"/>
  <c r="P38" i="8"/>
  <c r="O40" i="8"/>
  <c r="P50" i="8"/>
  <c r="Q48" i="8"/>
  <c r="P51" i="8"/>
  <c r="P52" i="8" s="1" a="1"/>
  <c r="P52" i="8" s="1"/>
  <c r="O36" i="8"/>
  <c r="O37" i="8" s="1" a="1"/>
  <c r="O37" i="8" s="1"/>
  <c r="P33" i="8"/>
  <c r="O35" i="8"/>
  <c r="P25" i="8"/>
  <c r="Q23" i="8"/>
  <c r="P26" i="8"/>
  <c r="P27" i="8" s="1" a="1"/>
  <c r="P27" i="8" s="1"/>
  <c r="Q20" i="8"/>
  <c r="Q21" i="8"/>
  <c r="Q22" i="8" s="1" a="1"/>
  <c r="Q22" i="8" s="1"/>
  <c r="R18" i="8"/>
  <c r="O16" i="8"/>
  <c r="O17" i="8" s="1" a="1"/>
  <c r="O17" i="8" s="1"/>
  <c r="P13" i="8"/>
  <c r="O15" i="8"/>
  <c r="Q43" i="8"/>
  <c r="P45" i="8"/>
  <c r="P46" i="8"/>
  <c r="P47" i="8" s="1" a="1"/>
  <c r="P47" i="8" s="1"/>
  <c r="Q63" i="8"/>
  <c r="P65" i="8"/>
  <c r="P66" i="8"/>
  <c r="P67" i="8" s="1" a="1"/>
  <c r="P67" i="8" s="1"/>
  <c r="Q58" i="8"/>
  <c r="P60" i="8"/>
  <c r="P61" i="8"/>
  <c r="P62" i="8" s="1" a="1"/>
  <c r="P62" i="8" s="1"/>
  <c r="P55" i="8"/>
  <c r="Q53" i="8"/>
  <c r="P56" i="8"/>
  <c r="P57" i="8" s="1" a="1"/>
  <c r="P57" i="8" s="1"/>
  <c r="P11" i="8"/>
  <c r="P12" i="8" s="1" a="1"/>
  <c r="P12" i="8" s="1"/>
  <c r="P10" i="8"/>
  <c r="Q8" i="8"/>
  <c r="P31" i="8"/>
  <c r="P32" i="8" s="1" a="1"/>
  <c r="P32" i="8" s="1"/>
  <c r="Q28" i="8"/>
  <c r="P30" i="8"/>
  <c r="U9" i="39" l="1"/>
  <c r="U14" i="39" s="1"/>
  <c r="U51" i="39" s="1"/>
  <c r="T13" i="39"/>
  <c r="T52" i="39" s="1"/>
  <c r="R12" i="36" a="1"/>
  <c r="R12" i="36" s="1"/>
  <c r="R30" i="36" a="1"/>
  <c r="R30" i="36" s="1"/>
  <c r="S17" i="36"/>
  <c r="T14" i="36"/>
  <c r="S18" i="36" a="1"/>
  <c r="S18" i="36" s="1"/>
  <c r="S16" i="36"/>
  <c r="S22" i="36"/>
  <c r="T20" i="36"/>
  <c r="S23" i="36"/>
  <c r="S24" i="36" s="1" a="1"/>
  <c r="S24" i="36" s="1"/>
  <c r="T34" i="36"/>
  <c r="U32" i="36"/>
  <c r="T35" i="36"/>
  <c r="T36" i="36" s="1" a="1"/>
  <c r="T36" i="36" s="1"/>
  <c r="S77" i="36"/>
  <c r="S78" i="36" s="1" a="1"/>
  <c r="S78" i="36" s="1"/>
  <c r="S76" i="36"/>
  <c r="T74" i="36"/>
  <c r="S46" i="36"/>
  <c r="T44" i="36"/>
  <c r="S47" i="36"/>
  <c r="S48" i="36" s="1" a="1"/>
  <c r="S48" i="36" s="1"/>
  <c r="U64" i="36"/>
  <c r="V62" i="36"/>
  <c r="U65" i="36"/>
  <c r="U66" i="36" s="1" a="1"/>
  <c r="U66" i="36" s="1"/>
  <c r="T28" i="36"/>
  <c r="U26" i="36"/>
  <c r="T29" i="36"/>
  <c r="S71" i="36"/>
  <c r="S72" i="36" s="1" a="1"/>
  <c r="S72" i="36" s="1"/>
  <c r="S70" i="36"/>
  <c r="T68" i="36"/>
  <c r="S58" i="36"/>
  <c r="T56" i="36"/>
  <c r="S59" i="36"/>
  <c r="S60" i="36" s="1" a="1"/>
  <c r="S60" i="36" s="1"/>
  <c r="S40" i="36"/>
  <c r="T38" i="36"/>
  <c r="S41" i="36"/>
  <c r="S42" i="36" s="1" a="1"/>
  <c r="S42" i="36" s="1"/>
  <c r="S10" i="36"/>
  <c r="S11" i="36"/>
  <c r="T8" i="36"/>
  <c r="U52" i="36"/>
  <c r="V50" i="36"/>
  <c r="U53" i="36"/>
  <c r="U54" i="36" s="1" a="1"/>
  <c r="U54" i="36" s="1"/>
  <c r="S20" i="35"/>
  <c r="S22" i="35" a="1"/>
  <c r="S22" i="35" s="1"/>
  <c r="T18" i="35"/>
  <c r="S21" i="35"/>
  <c r="S42" i="35" a="1"/>
  <c r="S42" i="35" s="1"/>
  <c r="S41" i="35"/>
  <c r="T38" i="35"/>
  <c r="S40" i="35"/>
  <c r="T15" i="35"/>
  <c r="U13" i="35"/>
  <c r="T17" i="35" a="1"/>
  <c r="T17" i="35" s="1"/>
  <c r="T16" i="35"/>
  <c r="T47" i="35" a="1"/>
  <c r="T47" i="35" s="1"/>
  <c r="U43" i="35"/>
  <c r="T46" i="35"/>
  <c r="T45" i="35"/>
  <c r="T52" i="35" a="1"/>
  <c r="T52" i="35" s="1"/>
  <c r="U48" i="35"/>
  <c r="T51" i="35"/>
  <c r="T50" i="35"/>
  <c r="T12" i="35" a="1"/>
  <c r="T12" i="35" s="1"/>
  <c r="T11" i="35"/>
  <c r="T10" i="35"/>
  <c r="U8" i="35"/>
  <c r="S57" i="35" a="1"/>
  <c r="S57" i="35" s="1"/>
  <c r="T53" i="35"/>
  <c r="S56" i="35"/>
  <c r="S55" i="35"/>
  <c r="S32" i="35" a="1"/>
  <c r="S32" i="35" s="1"/>
  <c r="S31" i="35"/>
  <c r="S30" i="35"/>
  <c r="T28" i="35"/>
  <c r="U23" i="35"/>
  <c r="T26" i="35"/>
  <c r="T25" i="35"/>
  <c r="T27" i="35" a="1"/>
  <c r="T27" i="35" s="1"/>
  <c r="S67" i="35" a="1"/>
  <c r="S67" i="35" s="1"/>
  <c r="T63" i="35"/>
  <c r="S65" i="35"/>
  <c r="S66" i="35"/>
  <c r="S62" i="35" a="1"/>
  <c r="S62" i="35" s="1"/>
  <c r="T58" i="35"/>
  <c r="S61" i="35"/>
  <c r="S60" i="35"/>
  <c r="S37" i="35" a="1"/>
  <c r="S37" i="35" s="1"/>
  <c r="T33" i="35"/>
  <c r="S36" i="35"/>
  <c r="S35" i="35"/>
  <c r="Q62" i="12"/>
  <c r="P66" i="12" a="1"/>
  <c r="P66" i="12" s="1"/>
  <c r="P64" i="12"/>
  <c r="P65" i="12"/>
  <c r="R36" i="20" a="1"/>
  <c r="R36" i="20" s="1"/>
  <c r="R40" i="20" a="1"/>
  <c r="R40" i="20" s="1"/>
  <c r="R34" i="20" a="1"/>
  <c r="R34" i="20" s="1"/>
  <c r="R30" i="20" a="1"/>
  <c r="R30" i="20" s="1"/>
  <c r="R38" i="20" a="1"/>
  <c r="R38" i="20" s="1"/>
  <c r="R22" i="20" a="1"/>
  <c r="R22" i="20" s="1"/>
  <c r="R18" i="20" a="1"/>
  <c r="R18" i="20" s="1"/>
  <c r="R28" i="20" a="1"/>
  <c r="R28" i="20" s="1"/>
  <c r="R32" i="20" a="1"/>
  <c r="R32" i="20" s="1"/>
  <c r="R20" i="20" a="1"/>
  <c r="R20" i="20" s="1"/>
  <c r="R26" i="20" a="1"/>
  <c r="R26" i="20" s="1"/>
  <c r="R24" i="20" a="1"/>
  <c r="R24" i="20" s="1"/>
  <c r="R12" i="20" a="1"/>
  <c r="R12" i="20" s="1"/>
  <c r="R14" i="20" a="1"/>
  <c r="R14" i="20" s="1"/>
  <c r="R16" i="20" a="1"/>
  <c r="R16" i="20" s="1"/>
  <c r="S11" i="20"/>
  <c r="T8" i="20"/>
  <c r="S10" i="20"/>
  <c r="S36" i="19" a="1"/>
  <c r="S36" i="19" s="1"/>
  <c r="S38" i="19" a="1"/>
  <c r="S38" i="19" s="1"/>
  <c r="S30" i="19" a="1"/>
  <c r="S30" i="19" s="1"/>
  <c r="S22" i="19" a="1"/>
  <c r="S22" i="19" s="1"/>
  <c r="S32" i="19" a="1"/>
  <c r="S32" i="19" s="1"/>
  <c r="S40" i="19" a="1"/>
  <c r="S40" i="19" s="1"/>
  <c r="S34" i="19" a="1"/>
  <c r="S34" i="19" s="1"/>
  <c r="S26" i="19" a="1"/>
  <c r="S26" i="19" s="1"/>
  <c r="S20" i="19" a="1"/>
  <c r="S20" i="19" s="1"/>
  <c r="S14" i="19" a="1"/>
  <c r="S14" i="19" s="1"/>
  <c r="S16" i="19" a="1"/>
  <c r="S16" i="19" s="1"/>
  <c r="S10" i="19"/>
  <c r="S28" i="19" a="1"/>
  <c r="S28" i="19" s="1"/>
  <c r="S24" i="19" a="1"/>
  <c r="S24" i="19" s="1"/>
  <c r="S18" i="19" a="1"/>
  <c r="S18" i="19" s="1"/>
  <c r="S12" i="19" a="1"/>
  <c r="S12" i="19" s="1"/>
  <c r="T8" i="19"/>
  <c r="S11" i="19"/>
  <c r="P10" i="12"/>
  <c r="P11" i="12"/>
  <c r="Q8" i="12"/>
  <c r="P12" i="12" a="1"/>
  <c r="P12" i="12" s="1"/>
  <c r="Q59" i="12"/>
  <c r="Q58" i="12"/>
  <c r="R56" i="12"/>
  <c r="Q60" i="12" a="1"/>
  <c r="Q60" i="12" s="1"/>
  <c r="Q36" i="12" a="1"/>
  <c r="Q36" i="12" s="1"/>
  <c r="Q35" i="12"/>
  <c r="Q34" i="12"/>
  <c r="R32" i="12"/>
  <c r="Q42" i="12" a="1"/>
  <c r="Q42" i="12" s="1"/>
  <c r="Q41" i="12"/>
  <c r="Q40" i="12"/>
  <c r="R38" i="12"/>
  <c r="Q48" i="12" a="1"/>
  <c r="Q48" i="12" s="1"/>
  <c r="Q47" i="12"/>
  <c r="Q46" i="12"/>
  <c r="R44" i="12"/>
  <c r="Q54" i="12" a="1"/>
  <c r="Q54" i="12" s="1"/>
  <c r="Q53" i="12"/>
  <c r="Q52" i="12"/>
  <c r="R50" i="12"/>
  <c r="R18" i="12" a="1"/>
  <c r="R18" i="12" s="1"/>
  <c r="R16" i="12"/>
  <c r="S14" i="12"/>
  <c r="R17" i="12"/>
  <c r="Q72" i="12" a="1"/>
  <c r="Q72" i="12" s="1"/>
  <c r="Q71" i="12"/>
  <c r="Q70" i="12"/>
  <c r="R68" i="12"/>
  <c r="Q30" i="12" a="1"/>
  <c r="Q30" i="12" s="1"/>
  <c r="Q29" i="12"/>
  <c r="Q28" i="12"/>
  <c r="R26" i="12"/>
  <c r="Q24" i="12" a="1"/>
  <c r="Q24" i="12" s="1"/>
  <c r="Q23" i="12"/>
  <c r="Q22" i="12"/>
  <c r="R20" i="12"/>
  <c r="Q78" i="12" a="1"/>
  <c r="Q78" i="12" s="1"/>
  <c r="Q77" i="12"/>
  <c r="Q76" i="12"/>
  <c r="R74" i="12"/>
  <c r="P40" i="8"/>
  <c r="P41" i="8"/>
  <c r="P42" i="8" s="1" a="1"/>
  <c r="P42" i="8" s="1"/>
  <c r="Q38" i="8"/>
  <c r="R28" i="8"/>
  <c r="Q30" i="8"/>
  <c r="Q31" i="8"/>
  <c r="Q32" i="8" s="1" a="1"/>
  <c r="Q32" i="8" s="1"/>
  <c r="Q45" i="8"/>
  <c r="Q46" i="8"/>
  <c r="Q47" i="8" s="1" a="1"/>
  <c r="Q47" i="8" s="1"/>
  <c r="R43" i="8"/>
  <c r="R21" i="8"/>
  <c r="R22" i="8" s="1" a="1"/>
  <c r="R22" i="8" s="1"/>
  <c r="S18" i="8"/>
  <c r="R20" i="8"/>
  <c r="Q26" i="8"/>
  <c r="Q27" i="8" s="1" a="1"/>
  <c r="Q27" i="8" s="1"/>
  <c r="R23" i="8"/>
  <c r="Q25" i="8"/>
  <c r="R63" i="8"/>
  <c r="Q65" i="8"/>
  <c r="Q66" i="8"/>
  <c r="Q67" i="8" s="1" a="1"/>
  <c r="Q67" i="8" s="1"/>
  <c r="R8" i="8"/>
  <c r="Q10" i="8"/>
  <c r="Q11" i="8"/>
  <c r="Q12" i="8" s="1" a="1"/>
  <c r="Q12" i="8" s="1"/>
  <c r="Q56" i="8"/>
  <c r="Q57" i="8" s="1" a="1"/>
  <c r="Q57" i="8" s="1"/>
  <c r="Q55" i="8"/>
  <c r="R53" i="8"/>
  <c r="R58" i="8"/>
  <c r="Q60" i="8"/>
  <c r="Q61" i="8"/>
  <c r="Q62" i="8" s="1" a="1"/>
  <c r="Q62" i="8" s="1"/>
  <c r="Q13" i="8"/>
  <c r="P15" i="8"/>
  <c r="P16" i="8"/>
  <c r="P17" i="8" s="1" a="1"/>
  <c r="P17" i="8" s="1"/>
  <c r="Q51" i="8"/>
  <c r="Q52" i="8" s="1" a="1"/>
  <c r="Q52" i="8" s="1"/>
  <c r="R48" i="8"/>
  <c r="Q50" i="8"/>
  <c r="Q33" i="8"/>
  <c r="P35" i="8"/>
  <c r="P36" i="8"/>
  <c r="P37" i="8" s="1" a="1"/>
  <c r="P37" i="8" s="1"/>
  <c r="V9" i="39" l="1"/>
  <c r="V14" i="39" s="1"/>
  <c r="V51" i="39" s="1"/>
  <c r="U13" i="39"/>
  <c r="U52" i="39" s="1"/>
  <c r="S12" i="36" a="1"/>
  <c r="S12" i="36" s="1"/>
  <c r="S30" i="36" a="1"/>
  <c r="S30" i="36" s="1"/>
  <c r="U38" i="36"/>
  <c r="T41" i="36"/>
  <c r="T42" i="36" s="1" a="1"/>
  <c r="T42" i="36" s="1"/>
  <c r="T40" i="36"/>
  <c r="T11" i="36"/>
  <c r="U8" i="36"/>
  <c r="T10" i="36"/>
  <c r="T70" i="36"/>
  <c r="T71" i="36"/>
  <c r="T72" i="36" s="1" a="1"/>
  <c r="T72" i="36" s="1"/>
  <c r="U68" i="36"/>
  <c r="T76" i="36"/>
  <c r="U74" i="36"/>
  <c r="T77" i="36"/>
  <c r="T78" i="36" s="1" a="1"/>
  <c r="T78" i="36" s="1"/>
  <c r="W50" i="36"/>
  <c r="V53" i="36"/>
  <c r="V54" i="36" s="1" a="1"/>
  <c r="V54" i="36" s="1"/>
  <c r="V52" i="36"/>
  <c r="U56" i="36"/>
  <c r="T59" i="36"/>
  <c r="T60" i="36" s="1" a="1"/>
  <c r="T60" i="36" s="1"/>
  <c r="T58" i="36"/>
  <c r="U28" i="36"/>
  <c r="V26" i="36"/>
  <c r="U29" i="36"/>
  <c r="W62" i="36"/>
  <c r="V65" i="36"/>
  <c r="V66" i="36" s="1" a="1"/>
  <c r="V66" i="36" s="1"/>
  <c r="V64" i="36"/>
  <c r="U44" i="36"/>
  <c r="T46" i="36"/>
  <c r="T47" i="36"/>
  <c r="T48" i="36" s="1" a="1"/>
  <c r="T48" i="36" s="1"/>
  <c r="U34" i="36"/>
  <c r="V32" i="36"/>
  <c r="U35" i="36"/>
  <c r="U36" i="36" s="1" a="1"/>
  <c r="U36" i="36" s="1"/>
  <c r="T22" i="36"/>
  <c r="U20" i="36"/>
  <c r="T23" i="36"/>
  <c r="T24" i="36" s="1" a="1"/>
  <c r="T24" i="36" s="1"/>
  <c r="T18" i="36" a="1"/>
  <c r="T18" i="36" s="1"/>
  <c r="T17" i="36"/>
  <c r="U14" i="36"/>
  <c r="T16" i="36"/>
  <c r="T22" i="35" a="1"/>
  <c r="T22" i="35" s="1"/>
  <c r="U18" i="35"/>
  <c r="T21" i="35"/>
  <c r="T20" i="35"/>
  <c r="T40" i="35"/>
  <c r="T42" i="35" a="1"/>
  <c r="T42" i="35" s="1"/>
  <c r="U38" i="35"/>
  <c r="T41" i="35"/>
  <c r="U26" i="35"/>
  <c r="U27" i="35" a="1"/>
  <c r="U27" i="35" s="1"/>
  <c r="U25" i="35"/>
  <c r="V23" i="35"/>
  <c r="T31" i="35"/>
  <c r="T30" i="35"/>
  <c r="U28" i="35"/>
  <c r="T32" i="35" a="1"/>
  <c r="T32" i="35" s="1"/>
  <c r="U12" i="35" a="1"/>
  <c r="U12" i="35" s="1"/>
  <c r="U11" i="35"/>
  <c r="U10" i="35"/>
  <c r="V8" i="35"/>
  <c r="T36" i="35"/>
  <c r="T35" i="35"/>
  <c r="T37" i="35" a="1"/>
  <c r="T37" i="35" s="1"/>
  <c r="U33" i="35"/>
  <c r="U58" i="35"/>
  <c r="T61" i="35"/>
  <c r="T60" i="35"/>
  <c r="T62" i="35" a="1"/>
  <c r="T62" i="35" s="1"/>
  <c r="U63" i="35"/>
  <c r="T66" i="35"/>
  <c r="T67" i="35" a="1"/>
  <c r="T67" i="35" s="1"/>
  <c r="T65" i="35"/>
  <c r="T56" i="35"/>
  <c r="T55" i="35"/>
  <c r="T57" i="35" a="1"/>
  <c r="T57" i="35" s="1"/>
  <c r="U53" i="35"/>
  <c r="V48" i="35"/>
  <c r="U51" i="35"/>
  <c r="U52" i="35" a="1"/>
  <c r="U52" i="35" s="1"/>
  <c r="U50" i="35"/>
  <c r="V43" i="35"/>
  <c r="U46" i="35"/>
  <c r="U45" i="35"/>
  <c r="U47" i="35" a="1"/>
  <c r="U47" i="35" s="1"/>
  <c r="U15" i="35"/>
  <c r="V13" i="35"/>
  <c r="U17" i="35" a="1"/>
  <c r="U17" i="35" s="1"/>
  <c r="U16" i="35"/>
  <c r="Q66" i="12" a="1"/>
  <c r="Q66" i="12" s="1"/>
  <c r="Q65" i="12"/>
  <c r="Q64" i="12"/>
  <c r="R62" i="12"/>
  <c r="S32" i="20" a="1"/>
  <c r="S32" i="20" s="1"/>
  <c r="S28" i="20" a="1"/>
  <c r="S28" i="20" s="1"/>
  <c r="S36" i="20" a="1"/>
  <c r="S36" i="20" s="1"/>
  <c r="S40" i="20" a="1"/>
  <c r="S40" i="20" s="1"/>
  <c r="S30" i="20" a="1"/>
  <c r="S30" i="20" s="1"/>
  <c r="S38" i="20" a="1"/>
  <c r="S38" i="20" s="1"/>
  <c r="S26" i="20" a="1"/>
  <c r="S26" i="20" s="1"/>
  <c r="S24" i="20" a="1"/>
  <c r="S24" i="20" s="1"/>
  <c r="S34" i="20" a="1"/>
  <c r="S34" i="20" s="1"/>
  <c r="S22" i="20" a="1"/>
  <c r="S22" i="20" s="1"/>
  <c r="S18" i="20" a="1"/>
  <c r="S18" i="20" s="1"/>
  <c r="S20" i="20" a="1"/>
  <c r="S20" i="20" s="1"/>
  <c r="S12" i="20" a="1"/>
  <c r="S12" i="20" s="1"/>
  <c r="S16" i="20" a="1"/>
  <c r="S16" i="20" s="1"/>
  <c r="S14" i="20" a="1"/>
  <c r="S14" i="20" s="1"/>
  <c r="T10" i="20"/>
  <c r="T11" i="20"/>
  <c r="U8" i="20"/>
  <c r="T40" i="19" a="1"/>
  <c r="T40" i="19" s="1"/>
  <c r="T32" i="19" a="1"/>
  <c r="T32" i="19" s="1"/>
  <c r="T34" i="19" a="1"/>
  <c r="T34" i="19" s="1"/>
  <c r="T26" i="19" a="1"/>
  <c r="T26" i="19" s="1"/>
  <c r="T18" i="19" a="1"/>
  <c r="T18" i="19" s="1"/>
  <c r="T28" i="19" a="1"/>
  <c r="T28" i="19" s="1"/>
  <c r="T36" i="19" a="1"/>
  <c r="T36" i="19" s="1"/>
  <c r="T22" i="19" a="1"/>
  <c r="T22" i="19" s="1"/>
  <c r="T38" i="19" a="1"/>
  <c r="T38" i="19" s="1"/>
  <c r="T24" i="19" a="1"/>
  <c r="T24" i="19" s="1"/>
  <c r="T12" i="19" a="1"/>
  <c r="T12" i="19" s="1"/>
  <c r="T11" i="19"/>
  <c r="T30" i="19" a="1"/>
  <c r="T30" i="19" s="1"/>
  <c r="T20" i="19" a="1"/>
  <c r="T20" i="19" s="1"/>
  <c r="U8" i="19"/>
  <c r="T14" i="19" a="1"/>
  <c r="T14" i="19" s="1"/>
  <c r="T16" i="19" a="1"/>
  <c r="T16" i="19" s="1"/>
  <c r="T10" i="19"/>
  <c r="Q11" i="12"/>
  <c r="Q10" i="12"/>
  <c r="R8" i="12"/>
  <c r="Q12" i="12" a="1"/>
  <c r="Q12" i="12" s="1"/>
  <c r="R48" i="12" a="1"/>
  <c r="R48" i="12" s="1"/>
  <c r="R47" i="12"/>
  <c r="R46" i="12"/>
  <c r="S44" i="12"/>
  <c r="R42" i="12" a="1"/>
  <c r="R42" i="12" s="1"/>
  <c r="R41" i="12"/>
  <c r="R40" i="12"/>
  <c r="S38" i="12"/>
  <c r="S18" i="12" a="1"/>
  <c r="S18" i="12" s="1"/>
  <c r="S17" i="12"/>
  <c r="S16" i="12"/>
  <c r="T14" i="12"/>
  <c r="R60" i="12" a="1"/>
  <c r="R60" i="12" s="1"/>
  <c r="R59" i="12"/>
  <c r="R58" i="12"/>
  <c r="S56" i="12"/>
  <c r="R77" i="12"/>
  <c r="R76" i="12"/>
  <c r="S74" i="12"/>
  <c r="R78" i="12" a="1"/>
  <c r="R78" i="12" s="1"/>
  <c r="R24" i="12" a="1"/>
  <c r="R24" i="12" s="1"/>
  <c r="R23" i="12"/>
  <c r="R22" i="12"/>
  <c r="S20" i="12"/>
  <c r="R29" i="12"/>
  <c r="R28" i="12"/>
  <c r="R30" i="12" a="1"/>
  <c r="R30" i="12" s="1"/>
  <c r="S26" i="12"/>
  <c r="R71" i="12"/>
  <c r="R70" i="12"/>
  <c r="S68" i="12"/>
  <c r="R72" i="12" a="1"/>
  <c r="R72" i="12" s="1"/>
  <c r="R53" i="12"/>
  <c r="R54" i="12" a="1"/>
  <c r="R54" i="12" s="1"/>
  <c r="R52" i="12"/>
  <c r="S50" i="12"/>
  <c r="R36" i="12" a="1"/>
  <c r="R36" i="12" s="1"/>
  <c r="R35" i="12"/>
  <c r="R34" i="12"/>
  <c r="S32" i="12"/>
  <c r="Q40" i="8"/>
  <c r="Q41" i="8"/>
  <c r="Q42" i="8" s="1" a="1"/>
  <c r="Q42" i="8" s="1"/>
  <c r="R38" i="8"/>
  <c r="R50" i="8"/>
  <c r="S48" i="8"/>
  <c r="R51" i="8"/>
  <c r="R52" i="8" s="1" a="1"/>
  <c r="R52" i="8" s="1"/>
  <c r="R13" i="8"/>
  <c r="Q15" i="8"/>
  <c r="Q16" i="8"/>
  <c r="Q17" i="8" s="1" a="1"/>
  <c r="Q17" i="8" s="1"/>
  <c r="R56" i="8"/>
  <c r="R57" i="8" s="1" a="1"/>
  <c r="R57" i="8" s="1"/>
  <c r="R55" i="8"/>
  <c r="S53" i="8"/>
  <c r="R65" i="8"/>
  <c r="R66" i="8"/>
  <c r="R67" i="8" s="1" a="1"/>
  <c r="R67" i="8" s="1"/>
  <c r="S63" i="8"/>
  <c r="S28" i="8"/>
  <c r="R30" i="8"/>
  <c r="R31" i="8"/>
  <c r="R32" i="8" s="1" a="1"/>
  <c r="R32" i="8" s="1"/>
  <c r="R10" i="8"/>
  <c r="R11" i="8"/>
  <c r="R12" i="8" s="1" a="1"/>
  <c r="R12" i="8" s="1"/>
  <c r="S8" i="8"/>
  <c r="S21" i="8"/>
  <c r="S22" i="8" s="1" a="1"/>
  <c r="S22" i="8" s="1"/>
  <c r="T18" i="8"/>
  <c r="S20" i="8"/>
  <c r="R33" i="8"/>
  <c r="Q35" i="8"/>
  <c r="Q36" i="8"/>
  <c r="Q37" i="8" s="1" a="1"/>
  <c r="Q37" i="8" s="1"/>
  <c r="R25" i="8"/>
  <c r="R26" i="8"/>
  <c r="R27" i="8" s="1" a="1"/>
  <c r="R27" i="8" s="1"/>
  <c r="S23" i="8"/>
  <c r="R60" i="8"/>
  <c r="R61" i="8"/>
  <c r="R62" i="8" s="1" a="1"/>
  <c r="R62" i="8" s="1"/>
  <c r="S58" i="8"/>
  <c r="R46" i="8"/>
  <c r="R47" i="8" s="1" a="1"/>
  <c r="R47" i="8" s="1"/>
  <c r="R45" i="8"/>
  <c r="S43" i="8"/>
  <c r="W9" i="39" l="1"/>
  <c r="W14" i="39" s="1"/>
  <c r="W51" i="39" s="1"/>
  <c r="V13" i="39"/>
  <c r="V52" i="39" s="1"/>
  <c r="T30" i="36" a="1"/>
  <c r="T30" i="36" s="1"/>
  <c r="T12" i="36" a="1"/>
  <c r="T12" i="36" s="1"/>
  <c r="U17" i="36"/>
  <c r="V14" i="36"/>
  <c r="U16" i="36"/>
  <c r="U18" i="36" a="1"/>
  <c r="U18" i="36" s="1"/>
  <c r="W26" i="36"/>
  <c r="V29" i="36"/>
  <c r="V28" i="36"/>
  <c r="U76" i="36"/>
  <c r="U77" i="36"/>
  <c r="U78" i="36" s="1" a="1"/>
  <c r="U78" i="36" s="1"/>
  <c r="V74" i="36"/>
  <c r="U70" i="36"/>
  <c r="V68" i="36"/>
  <c r="U71" i="36"/>
  <c r="U72" i="36" s="1" a="1"/>
  <c r="U72" i="36" s="1"/>
  <c r="V20" i="36"/>
  <c r="U23" i="36"/>
  <c r="U24" i="36" s="1" a="1"/>
  <c r="U24" i="36" s="1"/>
  <c r="U22" i="36"/>
  <c r="W32" i="36"/>
  <c r="V35" i="36"/>
  <c r="V36" i="36" s="1" a="1"/>
  <c r="V36" i="36" s="1"/>
  <c r="V34" i="36"/>
  <c r="U11" i="36"/>
  <c r="V8" i="36"/>
  <c r="U10" i="36"/>
  <c r="U41" i="36"/>
  <c r="U42" i="36" s="1" a="1"/>
  <c r="U42" i="36" s="1"/>
  <c r="U40" i="36"/>
  <c r="V38" i="36"/>
  <c r="U47" i="36"/>
  <c r="U48" i="36" s="1" a="1"/>
  <c r="U48" i="36" s="1"/>
  <c r="U46" i="36"/>
  <c r="V44" i="36"/>
  <c r="W65" i="36"/>
  <c r="W66" i="36" s="1" a="1"/>
  <c r="W66" i="36" s="1"/>
  <c r="X62" i="36"/>
  <c r="W64" i="36"/>
  <c r="U59" i="36"/>
  <c r="U60" i="36" s="1" a="1"/>
  <c r="U60" i="36" s="1"/>
  <c r="U58" i="36"/>
  <c r="V56" i="36"/>
  <c r="W53" i="36"/>
  <c r="W54" i="36" s="1" a="1"/>
  <c r="W54" i="36" s="1"/>
  <c r="W52" i="36"/>
  <c r="X50" i="36"/>
  <c r="U21" i="35"/>
  <c r="V18" i="35"/>
  <c r="U22" i="35" a="1"/>
  <c r="U22" i="35" s="1"/>
  <c r="U20" i="35"/>
  <c r="U41" i="35"/>
  <c r="U40" i="35"/>
  <c r="U42" i="35" a="1"/>
  <c r="U42" i="35" s="1"/>
  <c r="V38" i="35"/>
  <c r="U37" i="35" a="1"/>
  <c r="U37" i="35" s="1"/>
  <c r="U35" i="35"/>
  <c r="V33" i="35"/>
  <c r="U36" i="35"/>
  <c r="V11" i="35"/>
  <c r="V10" i="35"/>
  <c r="W8" i="35"/>
  <c r="V12" i="35" a="1"/>
  <c r="V12" i="35" s="1"/>
  <c r="U31" i="35"/>
  <c r="U32" i="35" a="1"/>
  <c r="U32" i="35" s="1"/>
  <c r="U30" i="35"/>
  <c r="V28" i="35"/>
  <c r="V17" i="35" a="1"/>
  <c r="V17" i="35" s="1"/>
  <c r="V16" i="35"/>
  <c r="V15" i="35"/>
  <c r="W13" i="35"/>
  <c r="U57" i="35" a="1"/>
  <c r="U57" i="35" s="1"/>
  <c r="U55" i="35"/>
  <c r="U56" i="35"/>
  <c r="V53" i="35"/>
  <c r="V25" i="35"/>
  <c r="V27" i="35" a="1"/>
  <c r="V27" i="35" s="1"/>
  <c r="W23" i="35"/>
  <c r="V26" i="35"/>
  <c r="V46" i="35"/>
  <c r="V45" i="35"/>
  <c r="V47" i="35" a="1"/>
  <c r="V47" i="35" s="1"/>
  <c r="W43" i="35"/>
  <c r="V52" i="35" a="1"/>
  <c r="V52" i="35" s="1"/>
  <c r="V51" i="35"/>
  <c r="V50" i="35"/>
  <c r="W48" i="35"/>
  <c r="U66" i="35"/>
  <c r="U67" i="35" a="1"/>
  <c r="U67" i="35" s="1"/>
  <c r="U65" i="35"/>
  <c r="V63" i="35"/>
  <c r="U61" i="35"/>
  <c r="U62" i="35" a="1"/>
  <c r="U62" i="35" s="1"/>
  <c r="U60" i="35"/>
  <c r="V58" i="35"/>
  <c r="S62" i="12"/>
  <c r="R66" i="12" a="1"/>
  <c r="R66" i="12" s="1"/>
  <c r="R65" i="12"/>
  <c r="R64" i="12"/>
  <c r="T40" i="20" a="1"/>
  <c r="T40" i="20" s="1"/>
  <c r="T30" i="20" a="1"/>
  <c r="T30" i="20" s="1"/>
  <c r="T38" i="20" a="1"/>
  <c r="T38" i="20" s="1"/>
  <c r="T34" i="20" a="1"/>
  <c r="T34" i="20" s="1"/>
  <c r="T32" i="20" a="1"/>
  <c r="T32" i="20" s="1"/>
  <c r="T28" i="20" a="1"/>
  <c r="T28" i="20" s="1"/>
  <c r="T36" i="20" a="1"/>
  <c r="T36" i="20" s="1"/>
  <c r="T20" i="20" a="1"/>
  <c r="T20" i="20" s="1"/>
  <c r="T26" i="20" a="1"/>
  <c r="T26" i="20" s="1"/>
  <c r="T24" i="20" a="1"/>
  <c r="T24" i="20" s="1"/>
  <c r="T22" i="20" a="1"/>
  <c r="T22" i="20" s="1"/>
  <c r="T18" i="20" a="1"/>
  <c r="T18" i="20" s="1"/>
  <c r="T14" i="20" a="1"/>
  <c r="T14" i="20" s="1"/>
  <c r="T16" i="20" a="1"/>
  <c r="T16" i="20" s="1"/>
  <c r="T12" i="20" a="1"/>
  <c r="T12" i="20" s="1"/>
  <c r="V8" i="20"/>
  <c r="U10" i="20"/>
  <c r="U11" i="20"/>
  <c r="U36" i="19" a="1"/>
  <c r="U36" i="19" s="1"/>
  <c r="U30" i="19" a="1"/>
  <c r="U30" i="19" s="1"/>
  <c r="U22" i="19" a="1"/>
  <c r="U22" i="19" s="1"/>
  <c r="U38" i="19" a="1"/>
  <c r="U38" i="19" s="1"/>
  <c r="U34" i="19" a="1"/>
  <c r="U34" i="19" s="1"/>
  <c r="U28" i="19" a="1"/>
  <c r="U28" i="19" s="1"/>
  <c r="U18" i="19" a="1"/>
  <c r="U18" i="19" s="1"/>
  <c r="U14" i="19" a="1"/>
  <c r="U14" i="19" s="1"/>
  <c r="U32" i="19" a="1"/>
  <c r="U32" i="19" s="1"/>
  <c r="U26" i="19" a="1"/>
  <c r="U26" i="19" s="1"/>
  <c r="U20" i="19" a="1"/>
  <c r="U20" i="19" s="1"/>
  <c r="U16" i="19" a="1"/>
  <c r="U16" i="19" s="1"/>
  <c r="U40" i="19" a="1"/>
  <c r="U40" i="19" s="1"/>
  <c r="U24" i="19" a="1"/>
  <c r="U24" i="19" s="1"/>
  <c r="U12" i="19" a="1"/>
  <c r="U12" i="19" s="1"/>
  <c r="U10" i="19"/>
  <c r="U11" i="19"/>
  <c r="V8" i="19"/>
  <c r="R10" i="12"/>
  <c r="R11" i="12"/>
  <c r="S8" i="12"/>
  <c r="R12" i="12" a="1"/>
  <c r="R12" i="12" s="1"/>
  <c r="S30" i="12" a="1"/>
  <c r="S30" i="12" s="1"/>
  <c r="S29" i="12"/>
  <c r="S28" i="12"/>
  <c r="T26" i="12"/>
  <c r="S24" i="12" a="1"/>
  <c r="S24" i="12" s="1"/>
  <c r="S23" i="12"/>
  <c r="S22" i="12"/>
  <c r="T20" i="12"/>
  <c r="S60" i="12" a="1"/>
  <c r="S60" i="12" s="1"/>
  <c r="S59" i="12"/>
  <c r="S58" i="12"/>
  <c r="T56" i="12"/>
  <c r="T17" i="12"/>
  <c r="T16" i="12"/>
  <c r="U14" i="12"/>
  <c r="T18" i="12" a="1"/>
  <c r="T18" i="12" s="1"/>
  <c r="S42" i="12" a="1"/>
  <c r="S42" i="12" s="1"/>
  <c r="S41" i="12"/>
  <c r="S40" i="12"/>
  <c r="T38" i="12"/>
  <c r="S48" i="12" a="1"/>
  <c r="S48" i="12" s="1"/>
  <c r="S47" i="12"/>
  <c r="S46" i="12"/>
  <c r="T44" i="12"/>
  <c r="S54" i="12" a="1"/>
  <c r="S54" i="12" s="1"/>
  <c r="S53" i="12"/>
  <c r="S52" i="12"/>
  <c r="T50" i="12"/>
  <c r="S72" i="12" a="1"/>
  <c r="S72" i="12" s="1"/>
  <c r="S71" i="12"/>
  <c r="S70" i="12"/>
  <c r="T68" i="12"/>
  <c r="S78" i="12" a="1"/>
  <c r="S78" i="12" s="1"/>
  <c r="S77" i="12"/>
  <c r="S76" i="12"/>
  <c r="T74" i="12"/>
  <c r="S36" i="12" a="1"/>
  <c r="S36" i="12" s="1"/>
  <c r="S35" i="12"/>
  <c r="S34" i="12"/>
  <c r="T32" i="12"/>
  <c r="R41" i="8"/>
  <c r="R42" i="8" s="1" a="1"/>
  <c r="R42" i="8" s="1"/>
  <c r="S38" i="8"/>
  <c r="R40" i="8"/>
  <c r="T43" i="8"/>
  <c r="S45" i="8"/>
  <c r="S46" i="8"/>
  <c r="S47" i="8" s="1" a="1"/>
  <c r="S47" i="8" s="1"/>
  <c r="U18" i="8"/>
  <c r="T20" i="8"/>
  <c r="T21" i="8"/>
  <c r="T22" i="8" s="1" a="1"/>
  <c r="T22" i="8" s="1"/>
  <c r="S66" i="8"/>
  <c r="S67" i="8" s="1" a="1"/>
  <c r="S67" i="8" s="1"/>
  <c r="T63" i="8"/>
  <c r="S65" i="8"/>
  <c r="R15" i="8"/>
  <c r="R16" i="8"/>
  <c r="R17" i="8" s="1" a="1"/>
  <c r="R17" i="8" s="1"/>
  <c r="S13" i="8"/>
  <c r="S10" i="8"/>
  <c r="S11" i="8"/>
  <c r="S12" i="8" s="1" a="1"/>
  <c r="S12" i="8" s="1"/>
  <c r="T8" i="8"/>
  <c r="T48" i="8"/>
  <c r="S51" i="8"/>
  <c r="S52" i="8" s="1" a="1"/>
  <c r="S52" i="8" s="1"/>
  <c r="S50" i="8"/>
  <c r="S26" i="8"/>
  <c r="S27" i="8" s="1" a="1"/>
  <c r="S27" i="8" s="1"/>
  <c r="S25" i="8"/>
  <c r="T23" i="8"/>
  <c r="S61" i="8"/>
  <c r="S62" i="8" s="1" a="1"/>
  <c r="S62" i="8" s="1"/>
  <c r="S60" i="8"/>
  <c r="T58" i="8"/>
  <c r="R35" i="8"/>
  <c r="R36" i="8"/>
  <c r="R37" i="8" s="1" a="1"/>
  <c r="R37" i="8" s="1"/>
  <c r="S33" i="8"/>
  <c r="S30" i="8"/>
  <c r="S31" i="8"/>
  <c r="S32" i="8" s="1" a="1"/>
  <c r="S32" i="8" s="1"/>
  <c r="T28" i="8"/>
  <c r="T53" i="8"/>
  <c r="S56" i="8"/>
  <c r="S57" i="8" s="1" a="1"/>
  <c r="S57" i="8" s="1"/>
  <c r="S55" i="8"/>
  <c r="X9" i="39" l="1"/>
  <c r="X14" i="39" s="1"/>
  <c r="X51" i="39" s="1"/>
  <c r="W13" i="39"/>
  <c r="W52" i="39" s="1"/>
  <c r="U30" i="36" a="1"/>
  <c r="U30" i="36" s="1"/>
  <c r="U12" i="36" a="1"/>
  <c r="U12" i="36" s="1"/>
  <c r="X52" i="36"/>
  <c r="X53" i="36"/>
  <c r="X54" i="36" s="1" a="1"/>
  <c r="X54" i="36" s="1"/>
  <c r="Y50" i="36"/>
  <c r="V58" i="36"/>
  <c r="V59" i="36"/>
  <c r="V60" i="36" s="1" a="1"/>
  <c r="V60" i="36" s="1"/>
  <c r="W56" i="36"/>
  <c r="V40" i="36"/>
  <c r="W38" i="36"/>
  <c r="V41" i="36"/>
  <c r="V42" i="36" s="1" a="1"/>
  <c r="V42" i="36" s="1"/>
  <c r="V77" i="36"/>
  <c r="V78" i="36" s="1" a="1"/>
  <c r="V78" i="36" s="1"/>
  <c r="W74" i="36"/>
  <c r="V76" i="36"/>
  <c r="X64" i="36"/>
  <c r="X65" i="36"/>
  <c r="X66" i="36" s="1" a="1"/>
  <c r="X66" i="36" s="1"/>
  <c r="Y62" i="36"/>
  <c r="V47" i="36"/>
  <c r="V48" i="36" s="1" a="1"/>
  <c r="V48" i="36" s="1"/>
  <c r="V46" i="36"/>
  <c r="W44" i="36"/>
  <c r="V11" i="36"/>
  <c r="W8" i="36"/>
  <c r="V10" i="36"/>
  <c r="W68" i="36"/>
  <c r="V71" i="36"/>
  <c r="V72" i="36" s="1" a="1"/>
  <c r="V72" i="36" s="1"/>
  <c r="V70" i="36"/>
  <c r="W35" i="36"/>
  <c r="W36" i="36" s="1" a="1"/>
  <c r="W36" i="36" s="1"/>
  <c r="W34" i="36"/>
  <c r="X32" i="36"/>
  <c r="V23" i="36"/>
  <c r="V24" i="36" s="1" a="1"/>
  <c r="V24" i="36" s="1"/>
  <c r="V22" i="36"/>
  <c r="W20" i="36"/>
  <c r="W29" i="36"/>
  <c r="W28" i="36"/>
  <c r="X26" i="36"/>
  <c r="V16" i="36"/>
  <c r="V18" i="36" a="1"/>
  <c r="V18" i="36" s="1"/>
  <c r="V17" i="36"/>
  <c r="W14" i="36"/>
  <c r="V22" i="35" a="1"/>
  <c r="V22" i="35" s="1"/>
  <c r="V21" i="35"/>
  <c r="V20" i="35"/>
  <c r="W18" i="35"/>
  <c r="W38" i="35"/>
  <c r="V42" i="35" a="1"/>
  <c r="V42" i="35" s="1"/>
  <c r="V41" i="35"/>
  <c r="V40" i="35"/>
  <c r="V62" i="35" a="1"/>
  <c r="V62" i="35" s="1"/>
  <c r="V60" i="35"/>
  <c r="V61" i="35"/>
  <c r="W58" i="35"/>
  <c r="W50" i="35"/>
  <c r="W52" i="35" a="1"/>
  <c r="W52" i="35" s="1"/>
  <c r="X48" i="35"/>
  <c r="W51" i="35"/>
  <c r="V56" i="35"/>
  <c r="W53" i="35"/>
  <c r="V55" i="35"/>
  <c r="V57" i="35" a="1"/>
  <c r="V57" i="35" s="1"/>
  <c r="W16" i="35"/>
  <c r="W15" i="35"/>
  <c r="X13" i="35"/>
  <c r="W17" i="35" a="1"/>
  <c r="W17" i="35" s="1"/>
  <c r="W27" i="35" a="1"/>
  <c r="W27" i="35" s="1"/>
  <c r="X23" i="35"/>
  <c r="W26" i="35"/>
  <c r="W25" i="35"/>
  <c r="W12" i="35" a="1"/>
  <c r="W12" i="35" s="1"/>
  <c r="W11" i="35"/>
  <c r="W10" i="35"/>
  <c r="X8" i="35"/>
  <c r="W33" i="35"/>
  <c r="V37" i="35" a="1"/>
  <c r="V37" i="35" s="1"/>
  <c r="V36" i="35"/>
  <c r="V35" i="35"/>
  <c r="V65" i="35"/>
  <c r="W63" i="35"/>
  <c r="V66" i="35"/>
  <c r="V67" i="35" a="1"/>
  <c r="V67" i="35" s="1"/>
  <c r="W47" i="35" a="1"/>
  <c r="W47" i="35" s="1"/>
  <c r="W45" i="35"/>
  <c r="X43" i="35"/>
  <c r="W46" i="35"/>
  <c r="V30" i="35"/>
  <c r="W28" i="35"/>
  <c r="V32" i="35" a="1"/>
  <c r="V32" i="35" s="1"/>
  <c r="V31" i="35"/>
  <c r="T62" i="12"/>
  <c r="S64" i="12"/>
  <c r="S66" i="12" a="1"/>
  <c r="S66" i="12" s="1"/>
  <c r="S65" i="12"/>
  <c r="U36" i="20" a="1"/>
  <c r="U36" i="20" s="1"/>
  <c r="U40" i="20" a="1"/>
  <c r="U40" i="20" s="1"/>
  <c r="U30" i="20" a="1"/>
  <c r="U30" i="20" s="1"/>
  <c r="U38" i="20" a="1"/>
  <c r="U38" i="20" s="1"/>
  <c r="U22" i="20" a="1"/>
  <c r="U22" i="20" s="1"/>
  <c r="U18" i="20" a="1"/>
  <c r="U18" i="20" s="1"/>
  <c r="U34" i="20" a="1"/>
  <c r="U34" i="20" s="1"/>
  <c r="U28" i="20" a="1"/>
  <c r="U28" i="20" s="1"/>
  <c r="U20" i="20" a="1"/>
  <c r="U20" i="20" s="1"/>
  <c r="U32" i="20" a="1"/>
  <c r="U32" i="20" s="1"/>
  <c r="U26" i="20" a="1"/>
  <c r="U26" i="20" s="1"/>
  <c r="U24" i="20" a="1"/>
  <c r="U24" i="20" s="1"/>
  <c r="U12" i="20" a="1"/>
  <c r="U12" i="20" s="1"/>
  <c r="U14" i="20" a="1"/>
  <c r="U14" i="20" s="1"/>
  <c r="U16" i="20" a="1"/>
  <c r="U16" i="20" s="1"/>
  <c r="V10" i="20"/>
  <c r="V11" i="20"/>
  <c r="W8" i="20"/>
  <c r="V40" i="19" a="1"/>
  <c r="V40" i="19" s="1"/>
  <c r="V32" i="19" a="1"/>
  <c r="V32" i="19" s="1"/>
  <c r="V38" i="19" a="1"/>
  <c r="V38" i="19" s="1"/>
  <c r="V26" i="19" a="1"/>
  <c r="V26" i="19" s="1"/>
  <c r="V18" i="19" a="1"/>
  <c r="V18" i="19" s="1"/>
  <c r="V34" i="19" a="1"/>
  <c r="V34" i="19" s="1"/>
  <c r="V28" i="19" a="1"/>
  <c r="V28" i="19" s="1"/>
  <c r="V30" i="19" a="1"/>
  <c r="V30" i="19" s="1"/>
  <c r="V22" i="19" a="1"/>
  <c r="V22" i="19" s="1"/>
  <c r="V12" i="19" a="1"/>
  <c r="V12" i="19" s="1"/>
  <c r="W8" i="19"/>
  <c r="V36" i="19" a="1"/>
  <c r="V36" i="19" s="1"/>
  <c r="V24" i="19" a="1"/>
  <c r="V24" i="19" s="1"/>
  <c r="V11" i="19"/>
  <c r="V14" i="19" a="1"/>
  <c r="V14" i="19" s="1"/>
  <c r="V20" i="19" a="1"/>
  <c r="V20" i="19" s="1"/>
  <c r="V16" i="19" a="1"/>
  <c r="V16" i="19" s="1"/>
  <c r="V10" i="19"/>
  <c r="S11" i="12"/>
  <c r="T8" i="12"/>
  <c r="S10" i="12"/>
  <c r="S12" i="12" a="1"/>
  <c r="S12" i="12" s="1"/>
  <c r="T60" i="12" a="1"/>
  <c r="T60" i="12" s="1"/>
  <c r="T59" i="12"/>
  <c r="T58" i="12"/>
  <c r="U56" i="12"/>
  <c r="T23" i="12"/>
  <c r="T22" i="12"/>
  <c r="U20" i="12"/>
  <c r="T24" i="12" a="1"/>
  <c r="T24" i="12" s="1"/>
  <c r="T30" i="12" a="1"/>
  <c r="T30" i="12" s="1"/>
  <c r="T29" i="12"/>
  <c r="T28" i="12"/>
  <c r="U26" i="12"/>
  <c r="T71" i="12"/>
  <c r="T70" i="12"/>
  <c r="U68" i="12"/>
  <c r="T72" i="12" a="1"/>
  <c r="T72" i="12" s="1"/>
  <c r="T53" i="12"/>
  <c r="T52" i="12"/>
  <c r="U50" i="12"/>
  <c r="T54" i="12" a="1"/>
  <c r="T54" i="12" s="1"/>
  <c r="T48" i="12" a="1"/>
  <c r="T48" i="12" s="1"/>
  <c r="T47" i="12"/>
  <c r="T46" i="12"/>
  <c r="U44" i="12"/>
  <c r="U18" i="12" a="1"/>
  <c r="U18" i="12" s="1"/>
  <c r="U17" i="12"/>
  <c r="U16" i="12"/>
  <c r="V14" i="12"/>
  <c r="T36" i="12" a="1"/>
  <c r="T36" i="12" s="1"/>
  <c r="T35" i="12"/>
  <c r="T34" i="12"/>
  <c r="U32" i="12"/>
  <c r="T77" i="12"/>
  <c r="T76" i="12"/>
  <c r="U74" i="12"/>
  <c r="T78" i="12" a="1"/>
  <c r="T78" i="12" s="1"/>
  <c r="T42" i="12" a="1"/>
  <c r="T42" i="12" s="1"/>
  <c r="T41" i="12"/>
  <c r="T40" i="12"/>
  <c r="U38" i="12"/>
  <c r="S41" i="8"/>
  <c r="S42" i="8" s="1" a="1"/>
  <c r="S42" i="8" s="1"/>
  <c r="T38" i="8"/>
  <c r="S40" i="8"/>
  <c r="T31" i="8"/>
  <c r="T32" i="8" s="1" a="1"/>
  <c r="T32" i="8" s="1"/>
  <c r="U28" i="8"/>
  <c r="T30" i="8"/>
  <c r="T25" i="8"/>
  <c r="U23" i="8"/>
  <c r="T26" i="8"/>
  <c r="T27" i="8" s="1" a="1"/>
  <c r="T27" i="8" s="1"/>
  <c r="U58" i="8"/>
  <c r="T61" i="8"/>
  <c r="T62" i="8" s="1" a="1"/>
  <c r="T62" i="8" s="1"/>
  <c r="T60" i="8"/>
  <c r="T50" i="8"/>
  <c r="U48" i="8"/>
  <c r="T51" i="8"/>
  <c r="T52" i="8" s="1" a="1"/>
  <c r="T52" i="8" s="1"/>
  <c r="S16" i="8"/>
  <c r="S17" i="8" s="1" a="1"/>
  <c r="S17" i="8" s="1"/>
  <c r="T13" i="8"/>
  <c r="S15" i="8"/>
  <c r="U63" i="8"/>
  <c r="T65" i="8"/>
  <c r="T66" i="8"/>
  <c r="T67" i="8" s="1" a="1"/>
  <c r="T67" i="8" s="1"/>
  <c r="U20" i="8"/>
  <c r="U21" i="8"/>
  <c r="U22" i="8" s="1" a="1"/>
  <c r="U22" i="8" s="1"/>
  <c r="V18" i="8"/>
  <c r="T55" i="8"/>
  <c r="U53" i="8"/>
  <c r="T56" i="8"/>
  <c r="T57" i="8" s="1" a="1"/>
  <c r="T57" i="8" s="1"/>
  <c r="S36" i="8"/>
  <c r="S37" i="8" s="1" a="1"/>
  <c r="S37" i="8" s="1"/>
  <c r="T33" i="8"/>
  <c r="S35" i="8"/>
  <c r="T11" i="8"/>
  <c r="T12" i="8" s="1" a="1"/>
  <c r="T12" i="8" s="1"/>
  <c r="U8" i="8"/>
  <c r="T10" i="8"/>
  <c r="T46" i="8"/>
  <c r="T47" i="8" s="1" a="1"/>
  <c r="T47" i="8" s="1"/>
  <c r="U43" i="8"/>
  <c r="T45" i="8"/>
  <c r="Y9" i="39" l="1"/>
  <c r="Y14" i="39" s="1"/>
  <c r="Y51" i="39" s="1"/>
  <c r="X13" i="39"/>
  <c r="X52" i="39" s="1"/>
  <c r="V12" i="36" a="1"/>
  <c r="V12" i="36" s="1"/>
  <c r="V30" i="36" a="1"/>
  <c r="V30" i="36" s="1"/>
  <c r="W17" i="36"/>
  <c r="X14" i="36"/>
  <c r="W18" i="36" a="1"/>
  <c r="W18" i="36" s="1"/>
  <c r="W16" i="36"/>
  <c r="X28" i="36"/>
  <c r="Y26" i="36"/>
  <c r="X29" i="36"/>
  <c r="W22" i="36"/>
  <c r="X20" i="36"/>
  <c r="W23" i="36"/>
  <c r="W24" i="36" s="1" a="1"/>
  <c r="W24" i="36" s="1"/>
  <c r="X34" i="36"/>
  <c r="Y32" i="36"/>
  <c r="X35" i="36"/>
  <c r="X36" i="36" s="1" a="1"/>
  <c r="X36" i="36" s="1"/>
  <c r="W46" i="36"/>
  <c r="W47" i="36"/>
  <c r="W48" i="36" s="1" a="1"/>
  <c r="W48" i="36" s="1"/>
  <c r="X44" i="36"/>
  <c r="Y64" i="36"/>
  <c r="Y65" i="36"/>
  <c r="Y66" i="36" s="1" a="1"/>
  <c r="Y66" i="36" s="1"/>
  <c r="Z62" i="36"/>
  <c r="W58" i="36"/>
  <c r="X56" i="36"/>
  <c r="W59" i="36"/>
  <c r="W60" i="36" s="1" a="1"/>
  <c r="W60" i="36" s="1"/>
  <c r="W77" i="36"/>
  <c r="W78" i="36" s="1" a="1"/>
  <c r="W78" i="36" s="1"/>
  <c r="W76" i="36"/>
  <c r="X74" i="36"/>
  <c r="W40" i="36"/>
  <c r="X38" i="36"/>
  <c r="W41" i="36"/>
  <c r="W42" i="36" s="1" a="1"/>
  <c r="W42" i="36" s="1"/>
  <c r="Y52" i="36"/>
  <c r="Z50" i="36"/>
  <c r="Y53" i="36"/>
  <c r="Y54" i="36" s="1" a="1"/>
  <c r="Y54" i="36" s="1"/>
  <c r="W10" i="36"/>
  <c r="W11" i="36"/>
  <c r="X8" i="36"/>
  <c r="W71" i="36"/>
  <c r="W72" i="36" s="1" a="1"/>
  <c r="W72" i="36" s="1"/>
  <c r="W70" i="36"/>
  <c r="X68" i="36"/>
  <c r="W20" i="35"/>
  <c r="W22" i="35" a="1"/>
  <c r="W22" i="35" s="1"/>
  <c r="X18" i="35"/>
  <c r="W21" i="35"/>
  <c r="W41" i="35"/>
  <c r="W42" i="35" a="1"/>
  <c r="W42" i="35" s="1"/>
  <c r="W40" i="35"/>
  <c r="X38" i="35"/>
  <c r="X12" i="35" a="1"/>
  <c r="X12" i="35" s="1"/>
  <c r="X11" i="35"/>
  <c r="X10" i="35"/>
  <c r="Y8" i="35"/>
  <c r="W60" i="35"/>
  <c r="X58" i="35"/>
  <c r="W61" i="35"/>
  <c r="W62" i="35" a="1"/>
  <c r="W62" i="35" s="1"/>
  <c r="Y43" i="35"/>
  <c r="X46" i="35"/>
  <c r="X45" i="35"/>
  <c r="X47" i="35" a="1"/>
  <c r="X47" i="35" s="1"/>
  <c r="X15" i="35"/>
  <c r="Y13" i="35"/>
  <c r="X17" i="35" a="1"/>
  <c r="X17" i="35" s="1"/>
  <c r="X16" i="35"/>
  <c r="X52" i="35" a="1"/>
  <c r="X52" i="35" s="1"/>
  <c r="Y48" i="35"/>
  <c r="X51" i="35"/>
  <c r="X50" i="35"/>
  <c r="W32" i="35" a="1"/>
  <c r="W32" i="35" s="1"/>
  <c r="W31" i="35"/>
  <c r="W30" i="35"/>
  <c r="X28" i="35"/>
  <c r="W67" i="35" a="1"/>
  <c r="W67" i="35" s="1"/>
  <c r="X63" i="35"/>
  <c r="W66" i="35"/>
  <c r="W65" i="35"/>
  <c r="Y23" i="35"/>
  <c r="X26" i="35"/>
  <c r="X27" i="35" a="1"/>
  <c r="X27" i="35" s="1"/>
  <c r="X25" i="35"/>
  <c r="W57" i="35" a="1"/>
  <c r="W57" i="35" s="1"/>
  <c r="X53" i="35"/>
  <c r="W56" i="35"/>
  <c r="W55" i="35"/>
  <c r="W37" i="35" a="1"/>
  <c r="W37" i="35" s="1"/>
  <c r="X33" i="35"/>
  <c r="W36" i="35"/>
  <c r="W35" i="35"/>
  <c r="U62" i="12"/>
  <c r="T64" i="12"/>
  <c r="T66" i="12" a="1"/>
  <c r="T66" i="12" s="1"/>
  <c r="T65" i="12"/>
  <c r="V38" i="20" a="1"/>
  <c r="V38" i="20" s="1"/>
  <c r="V34" i="20" a="1"/>
  <c r="V34" i="20" s="1"/>
  <c r="V32" i="20" a="1"/>
  <c r="V32" i="20" s="1"/>
  <c r="V28" i="20" a="1"/>
  <c r="V28" i="20" s="1"/>
  <c r="V36" i="20" a="1"/>
  <c r="V36" i="20" s="1"/>
  <c r="V20" i="20" a="1"/>
  <c r="V20" i="20" s="1"/>
  <c r="V26" i="20" a="1"/>
  <c r="V26" i="20" s="1"/>
  <c r="V24" i="20" a="1"/>
  <c r="V24" i="20" s="1"/>
  <c r="V40" i="20" a="1"/>
  <c r="V40" i="20" s="1"/>
  <c r="V22" i="20" a="1"/>
  <c r="V22" i="20" s="1"/>
  <c r="V18" i="20" a="1"/>
  <c r="V18" i="20" s="1"/>
  <c r="V30" i="20" a="1"/>
  <c r="V30" i="20" s="1"/>
  <c r="V16" i="20" a="1"/>
  <c r="V16" i="20" s="1"/>
  <c r="V14" i="20" a="1"/>
  <c r="V14" i="20" s="1"/>
  <c r="V12" i="20" a="1"/>
  <c r="V12" i="20" s="1"/>
  <c r="W11" i="20"/>
  <c r="X8" i="20"/>
  <c r="W10" i="20"/>
  <c r="W36" i="19" a="1"/>
  <c r="W36" i="19" s="1"/>
  <c r="W40" i="19" a="1"/>
  <c r="W40" i="19" s="1"/>
  <c r="W34" i="19" a="1"/>
  <c r="W34" i="19" s="1"/>
  <c r="W30" i="19" a="1"/>
  <c r="W30" i="19" s="1"/>
  <c r="W22" i="19" a="1"/>
  <c r="W22" i="19" s="1"/>
  <c r="W38" i="19" a="1"/>
  <c r="W38" i="19" s="1"/>
  <c r="W32" i="19" a="1"/>
  <c r="W32" i="19" s="1"/>
  <c r="W24" i="19" a="1"/>
  <c r="W24" i="19" s="1"/>
  <c r="W14" i="19" a="1"/>
  <c r="W14" i="19" s="1"/>
  <c r="W18" i="19" a="1"/>
  <c r="W18" i="19" s="1"/>
  <c r="W16" i="19" a="1"/>
  <c r="W16" i="19" s="1"/>
  <c r="W10" i="19"/>
  <c r="W28" i="19" a="1"/>
  <c r="W28" i="19" s="1"/>
  <c r="W26" i="19" a="1"/>
  <c r="W26" i="19" s="1"/>
  <c r="W20" i="19" a="1"/>
  <c r="W20" i="19" s="1"/>
  <c r="W12" i="19" a="1"/>
  <c r="W12" i="19" s="1"/>
  <c r="X8" i="19"/>
  <c r="W11" i="19"/>
  <c r="T10" i="12"/>
  <c r="U8" i="12"/>
  <c r="T11" i="12"/>
  <c r="T12" i="12" a="1"/>
  <c r="T12" i="12" s="1"/>
  <c r="U59" i="12"/>
  <c r="U58" i="12"/>
  <c r="V56" i="12"/>
  <c r="U60" i="12" a="1"/>
  <c r="U60" i="12" s="1"/>
  <c r="U42" i="12" a="1"/>
  <c r="U42" i="12" s="1"/>
  <c r="U41" i="12"/>
  <c r="U40" i="12"/>
  <c r="V38" i="12"/>
  <c r="U36" i="12" a="1"/>
  <c r="U36" i="12" s="1"/>
  <c r="U35" i="12"/>
  <c r="U34" i="12"/>
  <c r="V32" i="12"/>
  <c r="V18" i="12" a="1"/>
  <c r="V18" i="12" s="1"/>
  <c r="V17" i="12"/>
  <c r="V16" i="12"/>
  <c r="W14" i="12"/>
  <c r="U48" i="12" a="1"/>
  <c r="U48" i="12" s="1"/>
  <c r="U47" i="12"/>
  <c r="U46" i="12"/>
  <c r="V44" i="12"/>
  <c r="U30" i="12" a="1"/>
  <c r="U30" i="12" s="1"/>
  <c r="V26" i="12"/>
  <c r="U29" i="12"/>
  <c r="U28" i="12"/>
  <c r="U78" i="12" a="1"/>
  <c r="U78" i="12" s="1"/>
  <c r="U77" i="12"/>
  <c r="U76" i="12"/>
  <c r="V74" i="12"/>
  <c r="U54" i="12" a="1"/>
  <c r="U54" i="12" s="1"/>
  <c r="V50" i="12"/>
  <c r="U53" i="12"/>
  <c r="U52" i="12"/>
  <c r="U72" i="12" a="1"/>
  <c r="U72" i="12" s="1"/>
  <c r="U71" i="12"/>
  <c r="U70" i="12"/>
  <c r="V68" i="12"/>
  <c r="U24" i="12" a="1"/>
  <c r="U24" i="12" s="1"/>
  <c r="U23" i="12"/>
  <c r="U22" i="12"/>
  <c r="V20" i="12"/>
  <c r="T40" i="8"/>
  <c r="T41" i="8"/>
  <c r="T42" i="8" s="1" a="1"/>
  <c r="T42" i="8" s="1"/>
  <c r="U38" i="8"/>
  <c r="V63" i="8"/>
  <c r="U65" i="8"/>
  <c r="U66" i="8"/>
  <c r="U67" i="8" s="1" a="1"/>
  <c r="U67" i="8" s="1"/>
  <c r="U45" i="8"/>
  <c r="U46" i="8"/>
  <c r="U47" i="8" s="1" a="1"/>
  <c r="U47" i="8" s="1"/>
  <c r="V43" i="8"/>
  <c r="U56" i="8"/>
  <c r="U57" i="8" s="1" a="1"/>
  <c r="U57" i="8" s="1"/>
  <c r="V53" i="8"/>
  <c r="U55" i="8"/>
  <c r="U51" i="8"/>
  <c r="U52" i="8" s="1" a="1"/>
  <c r="U52" i="8" s="1"/>
  <c r="V48" i="8"/>
  <c r="U50" i="8"/>
  <c r="V58" i="8"/>
  <c r="U60" i="8"/>
  <c r="U61" i="8"/>
  <c r="U62" i="8" s="1" a="1"/>
  <c r="U62" i="8" s="1"/>
  <c r="U33" i="8"/>
  <c r="T35" i="8"/>
  <c r="T36" i="8"/>
  <c r="T37" i="8" s="1" a="1"/>
  <c r="T37" i="8" s="1"/>
  <c r="U13" i="8"/>
  <c r="T15" i="8"/>
  <c r="T16" i="8"/>
  <c r="T17" i="8" s="1" a="1"/>
  <c r="T17" i="8" s="1"/>
  <c r="V28" i="8"/>
  <c r="U30" i="8"/>
  <c r="U31" i="8"/>
  <c r="U32" i="8" s="1" a="1"/>
  <c r="U32" i="8" s="1"/>
  <c r="V8" i="8"/>
  <c r="U10" i="8"/>
  <c r="U11" i="8"/>
  <c r="U12" i="8" s="1" a="1"/>
  <c r="U12" i="8" s="1"/>
  <c r="V21" i="8"/>
  <c r="V22" i="8" s="1" a="1"/>
  <c r="V22" i="8" s="1"/>
  <c r="W18" i="8"/>
  <c r="V20" i="8"/>
  <c r="U26" i="8"/>
  <c r="U27" i="8" s="1" a="1"/>
  <c r="U27" i="8" s="1"/>
  <c r="V23" i="8"/>
  <c r="U25" i="8"/>
  <c r="Z9" i="39" l="1"/>
  <c r="Z14" i="39" s="1"/>
  <c r="Z51" i="39" s="1"/>
  <c r="Y13" i="39"/>
  <c r="Y52" i="39" s="1"/>
  <c r="W12" i="36" a="1"/>
  <c r="W12" i="36" s="1"/>
  <c r="W30" i="36" a="1"/>
  <c r="W30" i="36" s="1"/>
  <c r="X70" i="36"/>
  <c r="Y68" i="36"/>
  <c r="X71" i="36"/>
  <c r="X72" i="36" s="1" a="1"/>
  <c r="X72" i="36" s="1"/>
  <c r="X11" i="36"/>
  <c r="Y8" i="36"/>
  <c r="X10" i="36"/>
  <c r="X76" i="36"/>
  <c r="Y74" i="36"/>
  <c r="X77" i="36"/>
  <c r="X78" i="36" s="1" a="1"/>
  <c r="X78" i="36" s="1"/>
  <c r="AA62" i="36"/>
  <c r="Z65" i="36"/>
  <c r="Z66" i="36" s="1" a="1"/>
  <c r="Z66" i="36" s="1"/>
  <c r="Z64" i="36"/>
  <c r="Y44" i="36"/>
  <c r="X46" i="36"/>
  <c r="X47" i="36"/>
  <c r="X48" i="36" s="1" a="1"/>
  <c r="X48" i="36" s="1"/>
  <c r="AA50" i="36"/>
  <c r="Z53" i="36"/>
  <c r="Z54" i="36" s="1" a="1"/>
  <c r="Z54" i="36" s="1"/>
  <c r="Z52" i="36"/>
  <c r="Y38" i="36"/>
  <c r="X41" i="36"/>
  <c r="X42" i="36" s="1" a="1"/>
  <c r="X42" i="36" s="1"/>
  <c r="X40" i="36"/>
  <c r="Y56" i="36"/>
  <c r="X59" i="36"/>
  <c r="X60" i="36" s="1" a="1"/>
  <c r="X60" i="36" s="1"/>
  <c r="X58" i="36"/>
  <c r="Y34" i="36"/>
  <c r="Z32" i="36"/>
  <c r="Y35" i="36"/>
  <c r="Y36" i="36" s="1" a="1"/>
  <c r="Y36" i="36" s="1"/>
  <c r="X22" i="36"/>
  <c r="Y20" i="36"/>
  <c r="X23" i="36"/>
  <c r="X24" i="36" s="1" a="1"/>
  <c r="X24" i="36" s="1"/>
  <c r="Y28" i="36"/>
  <c r="Z26" i="36"/>
  <c r="Y29" i="36"/>
  <c r="X18" i="36" a="1"/>
  <c r="X18" i="36" s="1"/>
  <c r="X17" i="36"/>
  <c r="Y14" i="36"/>
  <c r="X16" i="36"/>
  <c r="Y18" i="35"/>
  <c r="X20" i="35"/>
  <c r="X21" i="35"/>
  <c r="X22" i="35" a="1"/>
  <c r="X22" i="35" s="1"/>
  <c r="X40" i="35"/>
  <c r="X42" i="35" a="1"/>
  <c r="X42" i="35" s="1"/>
  <c r="Y38" i="35"/>
  <c r="X41" i="35"/>
  <c r="Y26" i="35"/>
  <c r="Y27" i="35" a="1"/>
  <c r="Y27" i="35" s="1"/>
  <c r="Y25" i="35"/>
  <c r="Z23" i="35"/>
  <c r="X31" i="35"/>
  <c r="X30" i="35"/>
  <c r="X32" i="35" a="1"/>
  <c r="X32" i="35" s="1"/>
  <c r="Y28" i="35"/>
  <c r="Y12" i="35" a="1"/>
  <c r="Y12" i="35" s="1"/>
  <c r="Y11" i="35"/>
  <c r="Y10" i="35"/>
  <c r="Z8" i="35"/>
  <c r="X36" i="35"/>
  <c r="X35" i="35"/>
  <c r="X37" i="35" a="1"/>
  <c r="X37" i="35" s="1"/>
  <c r="Y33" i="35"/>
  <c r="X57" i="35" a="1"/>
  <c r="X57" i="35" s="1"/>
  <c r="X56" i="35"/>
  <c r="X55" i="35"/>
  <c r="Y53" i="35"/>
  <c r="Y63" i="35"/>
  <c r="X66" i="35"/>
  <c r="X67" i="35" a="1"/>
  <c r="X67" i="35" s="1"/>
  <c r="X65" i="35"/>
  <c r="Z48" i="35"/>
  <c r="Y51" i="35"/>
  <c r="Y52" i="35" a="1"/>
  <c r="Y52" i="35" s="1"/>
  <c r="Y50" i="35"/>
  <c r="Y17" i="35" a="1"/>
  <c r="Y17" i="35" s="1"/>
  <c r="Y16" i="35"/>
  <c r="Y15" i="35"/>
  <c r="Z13" i="35"/>
  <c r="X62" i="35" a="1"/>
  <c r="X62" i="35" s="1"/>
  <c r="Y58" i="35"/>
  <c r="X61" i="35"/>
  <c r="X60" i="35"/>
  <c r="Z43" i="35"/>
  <c r="Y47" i="35" a="1"/>
  <c r="Y47" i="35" s="1"/>
  <c r="Y46" i="35"/>
  <c r="Y45" i="35"/>
  <c r="U66" i="12" a="1"/>
  <c r="U66" i="12" s="1"/>
  <c r="U65" i="12"/>
  <c r="U64" i="12"/>
  <c r="V62" i="12"/>
  <c r="W40" i="20" a="1"/>
  <c r="W40" i="20" s="1"/>
  <c r="W30" i="20" a="1"/>
  <c r="W30" i="20" s="1"/>
  <c r="W38" i="20" a="1"/>
  <c r="W38" i="20" s="1"/>
  <c r="W32" i="20" a="1"/>
  <c r="W32" i="20" s="1"/>
  <c r="W28" i="20" a="1"/>
  <c r="W28" i="20" s="1"/>
  <c r="W36" i="20" a="1"/>
  <c r="W36" i="20" s="1"/>
  <c r="W20" i="20" a="1"/>
  <c r="W20" i="20" s="1"/>
  <c r="W26" i="20" a="1"/>
  <c r="W26" i="20" s="1"/>
  <c r="W24" i="20" a="1"/>
  <c r="W24" i="20" s="1"/>
  <c r="W34" i="20" a="1"/>
  <c r="W34" i="20" s="1"/>
  <c r="W22" i="20" a="1"/>
  <c r="W22" i="20" s="1"/>
  <c r="W18" i="20" a="1"/>
  <c r="W18" i="20" s="1"/>
  <c r="W14" i="20" a="1"/>
  <c r="W14" i="20" s="1"/>
  <c r="W16" i="20" a="1"/>
  <c r="W16" i="20" s="1"/>
  <c r="W12" i="20" a="1"/>
  <c r="W12" i="20" s="1"/>
  <c r="X10" i="20"/>
  <c r="X11" i="20"/>
  <c r="Y8" i="20"/>
  <c r="X40" i="19" a="1"/>
  <c r="X40" i="19" s="1"/>
  <c r="X32" i="19" a="1"/>
  <c r="X32" i="19" s="1"/>
  <c r="X36" i="19" a="1"/>
  <c r="X36" i="19" s="1"/>
  <c r="X26" i="19" a="1"/>
  <c r="X26" i="19" s="1"/>
  <c r="X18" i="19" a="1"/>
  <c r="X18" i="19" s="1"/>
  <c r="X38" i="19" a="1"/>
  <c r="X38" i="19" s="1"/>
  <c r="X28" i="19" a="1"/>
  <c r="X28" i="19" s="1"/>
  <c r="X34" i="19" a="1"/>
  <c r="X34" i="19" s="1"/>
  <c r="X20" i="19" a="1"/>
  <c r="X20" i="19" s="1"/>
  <c r="X12" i="19" a="1"/>
  <c r="X12" i="19" s="1"/>
  <c r="X11" i="19"/>
  <c r="X30" i="19" a="1"/>
  <c r="X30" i="19" s="1"/>
  <c r="X22" i="19" a="1"/>
  <c r="X22" i="19" s="1"/>
  <c r="X10" i="19"/>
  <c r="X14" i="19" a="1"/>
  <c r="X14" i="19" s="1"/>
  <c r="X16" i="19" a="1"/>
  <c r="X16" i="19" s="1"/>
  <c r="Y8" i="19"/>
  <c r="X24" i="19" a="1"/>
  <c r="X24" i="19" s="1"/>
  <c r="U11" i="12"/>
  <c r="U12" i="12" a="1"/>
  <c r="U12" i="12" s="1"/>
  <c r="U10" i="12"/>
  <c r="V8" i="12"/>
  <c r="V48" i="12" a="1"/>
  <c r="V48" i="12" s="1"/>
  <c r="V47" i="12"/>
  <c r="V46" i="12"/>
  <c r="W44" i="12"/>
  <c r="V24" i="12" a="1"/>
  <c r="V24" i="12" s="1"/>
  <c r="V23" i="12"/>
  <c r="V22" i="12"/>
  <c r="W20" i="12"/>
  <c r="V60" i="12" a="1"/>
  <c r="V60" i="12" s="1"/>
  <c r="V59" i="12"/>
  <c r="W56" i="12"/>
  <c r="V58" i="12"/>
  <c r="V71" i="12"/>
  <c r="V70" i="12"/>
  <c r="W68" i="12"/>
  <c r="V72" i="12" a="1"/>
  <c r="V72" i="12" s="1"/>
  <c r="V77" i="12"/>
  <c r="V76" i="12"/>
  <c r="W74" i="12"/>
  <c r="V78" i="12" a="1"/>
  <c r="V78" i="12" s="1"/>
  <c r="W18" i="12" a="1"/>
  <c r="W18" i="12" s="1"/>
  <c r="W17" i="12"/>
  <c r="W16" i="12"/>
  <c r="X14" i="12"/>
  <c r="V36" i="12" a="1"/>
  <c r="V36" i="12" s="1"/>
  <c r="V35" i="12"/>
  <c r="V34" i="12"/>
  <c r="W32" i="12"/>
  <c r="V42" i="12" a="1"/>
  <c r="V42" i="12" s="1"/>
  <c r="V41" i="12"/>
  <c r="V40" i="12"/>
  <c r="W38" i="12"/>
  <c r="V54" i="12" a="1"/>
  <c r="V54" i="12" s="1"/>
  <c r="V53" i="12"/>
  <c r="V52" i="12"/>
  <c r="W50" i="12"/>
  <c r="V30" i="12" a="1"/>
  <c r="V30" i="12" s="1"/>
  <c r="V29" i="12"/>
  <c r="V28" i="12"/>
  <c r="W26" i="12"/>
  <c r="U40" i="8"/>
  <c r="U41" i="8"/>
  <c r="U42" i="8" s="1" a="1"/>
  <c r="U42" i="8" s="1"/>
  <c r="V38" i="8"/>
  <c r="W21" i="8"/>
  <c r="W22" i="8" s="1" a="1"/>
  <c r="W22" i="8" s="1"/>
  <c r="X18" i="8"/>
  <c r="W20" i="8"/>
  <c r="W8" i="8"/>
  <c r="V10" i="8"/>
  <c r="V11" i="8"/>
  <c r="V12" i="8" s="1" a="1"/>
  <c r="V12" i="8" s="1"/>
  <c r="V33" i="8"/>
  <c r="U35" i="8"/>
  <c r="U36" i="8"/>
  <c r="U37" i="8" s="1" a="1"/>
  <c r="U37" i="8" s="1"/>
  <c r="V55" i="8"/>
  <c r="V56" i="8"/>
  <c r="V57" i="8" s="1" a="1"/>
  <c r="V57" i="8" s="1"/>
  <c r="W53" i="8"/>
  <c r="V51" i="8"/>
  <c r="V52" i="8" s="1" a="1"/>
  <c r="V52" i="8" s="1"/>
  <c r="V50" i="8"/>
  <c r="W48" i="8"/>
  <c r="V25" i="8"/>
  <c r="V26" i="8"/>
  <c r="V27" i="8" s="1" a="1"/>
  <c r="V27" i="8" s="1"/>
  <c r="W23" i="8"/>
  <c r="V46" i="8"/>
  <c r="V47" i="8" s="1" a="1"/>
  <c r="V47" i="8" s="1"/>
  <c r="V45" i="8"/>
  <c r="W43" i="8"/>
  <c r="V13" i="8"/>
  <c r="U15" i="8"/>
  <c r="U16" i="8"/>
  <c r="U17" i="8" s="1" a="1"/>
  <c r="U17" i="8" s="1"/>
  <c r="W28" i="8"/>
  <c r="V30" i="8"/>
  <c r="V31" i="8"/>
  <c r="V32" i="8" s="1" a="1"/>
  <c r="V32" i="8" s="1"/>
  <c r="V60" i="8"/>
  <c r="V61" i="8"/>
  <c r="V62" i="8" s="1" a="1"/>
  <c r="V62" i="8" s="1"/>
  <c r="W58" i="8"/>
  <c r="V65" i="8"/>
  <c r="V66" i="8"/>
  <c r="V67" i="8" s="1" a="1"/>
  <c r="V67" i="8" s="1"/>
  <c r="W63" i="8"/>
  <c r="AA9" i="39" l="1"/>
  <c r="AA14" i="39" s="1"/>
  <c r="AA51" i="39" s="1"/>
  <c r="Z13" i="39"/>
  <c r="Z52" i="39" s="1"/>
  <c r="X12" i="36" a="1"/>
  <c r="X12" i="36" s="1"/>
  <c r="X30" i="36" a="1"/>
  <c r="X30" i="36" s="1"/>
  <c r="Y76" i="36"/>
  <c r="Y77" i="36"/>
  <c r="Y78" i="36" s="1" a="1"/>
  <c r="Y78" i="36" s="1"/>
  <c r="Z74" i="36"/>
  <c r="Y70" i="36"/>
  <c r="Z68" i="36"/>
  <c r="Y71" i="36"/>
  <c r="Y72" i="36" s="1" a="1"/>
  <c r="Y72" i="36" s="1"/>
  <c r="Y17" i="36"/>
  <c r="Z14" i="36"/>
  <c r="Y16" i="36"/>
  <c r="Y18" i="36" a="1"/>
  <c r="Y18" i="36" s="1"/>
  <c r="AA26" i="36"/>
  <c r="Z29" i="36"/>
  <c r="Z28" i="36"/>
  <c r="Z20" i="36"/>
  <c r="Y23" i="36"/>
  <c r="Y24" i="36" s="1" a="1"/>
  <c r="Y24" i="36" s="1"/>
  <c r="Y22" i="36"/>
  <c r="AA32" i="36"/>
  <c r="Z35" i="36"/>
  <c r="Z36" i="36" s="1" a="1"/>
  <c r="Z36" i="36" s="1"/>
  <c r="Z34" i="36"/>
  <c r="Y41" i="36"/>
  <c r="Y42" i="36" s="1" a="1"/>
  <c r="Y42" i="36" s="1"/>
  <c r="Y40" i="36"/>
  <c r="Z38" i="36"/>
  <c r="Y11" i="36"/>
  <c r="Z8" i="36"/>
  <c r="Y10" i="36"/>
  <c r="Y59" i="36"/>
  <c r="Y60" i="36" s="1" a="1"/>
  <c r="Y60" i="36" s="1"/>
  <c r="Z56" i="36"/>
  <c r="Y58" i="36"/>
  <c r="AA53" i="36"/>
  <c r="AA54" i="36" s="1" a="1"/>
  <c r="AA54" i="36" s="1"/>
  <c r="AB50" i="36"/>
  <c r="AA52" i="36"/>
  <c r="Y47" i="36"/>
  <c r="Y48" i="36" s="1" a="1"/>
  <c r="Y48" i="36" s="1"/>
  <c r="Y46" i="36"/>
  <c r="Z44" i="36"/>
  <c r="AA65" i="36"/>
  <c r="AA66" i="36" s="1" a="1"/>
  <c r="AA66" i="36" s="1"/>
  <c r="AB62" i="36"/>
  <c r="AA64" i="36"/>
  <c r="Y21" i="35"/>
  <c r="Y22" i="35" a="1"/>
  <c r="Y22" i="35" s="1"/>
  <c r="Y20" i="35"/>
  <c r="Z18" i="35"/>
  <c r="Z38" i="35"/>
  <c r="Y40" i="35"/>
  <c r="Y42" i="35" a="1"/>
  <c r="Y42" i="35" s="1"/>
  <c r="Y41" i="35"/>
  <c r="Z47" i="35" a="1"/>
  <c r="Z47" i="35" s="1"/>
  <c r="Z46" i="35"/>
  <c r="Z45" i="35"/>
  <c r="AA43" i="35"/>
  <c r="Z17" i="35" a="1"/>
  <c r="Z17" i="35" s="1"/>
  <c r="Z16" i="35"/>
  <c r="Z15" i="35"/>
  <c r="AA13" i="35"/>
  <c r="Y55" i="35"/>
  <c r="Y57" i="35" a="1"/>
  <c r="Y57" i="35" s="1"/>
  <c r="Y56" i="35"/>
  <c r="Z53" i="35"/>
  <c r="Y37" i="35" a="1"/>
  <c r="Y37" i="35" s="1"/>
  <c r="Y35" i="35"/>
  <c r="Z33" i="35"/>
  <c r="Y36" i="35"/>
  <c r="Z11" i="35"/>
  <c r="Z10" i="35"/>
  <c r="AA8" i="35"/>
  <c r="Z12" i="35" a="1"/>
  <c r="Z12" i="35" s="1"/>
  <c r="Y31" i="35"/>
  <c r="Y32" i="35" a="1"/>
  <c r="Y32" i="35" s="1"/>
  <c r="Y30" i="35"/>
  <c r="Z28" i="35"/>
  <c r="Z25" i="35"/>
  <c r="Z27" i="35" a="1"/>
  <c r="Z27" i="35" s="1"/>
  <c r="Z26" i="35"/>
  <c r="AA23" i="35"/>
  <c r="Y61" i="35"/>
  <c r="Z58" i="35"/>
  <c r="Y62" i="35" a="1"/>
  <c r="Y62" i="35" s="1"/>
  <c r="Y60" i="35"/>
  <c r="Z52" i="35" a="1"/>
  <c r="Z52" i="35" s="1"/>
  <c r="Z51" i="35"/>
  <c r="Z50" i="35"/>
  <c r="AA48" i="35"/>
  <c r="Y66" i="35"/>
  <c r="Y67" i="35" a="1"/>
  <c r="Y67" i="35" s="1"/>
  <c r="Y65" i="35"/>
  <c r="Z63" i="35"/>
  <c r="W62" i="12"/>
  <c r="V64" i="12"/>
  <c r="V66" i="12" a="1"/>
  <c r="V66" i="12" s="1"/>
  <c r="V65" i="12"/>
  <c r="X32" i="20" a="1"/>
  <c r="X32" i="20" s="1"/>
  <c r="X28" i="20" a="1"/>
  <c r="X28" i="20" s="1"/>
  <c r="X36" i="20" a="1"/>
  <c r="X36" i="20" s="1"/>
  <c r="X34" i="20" a="1"/>
  <c r="X34" i="20" s="1"/>
  <c r="X40" i="20" a="1"/>
  <c r="X40" i="20" s="1"/>
  <c r="X30" i="20" a="1"/>
  <c r="X30" i="20" s="1"/>
  <c r="X26" i="20" a="1"/>
  <c r="X26" i="20" s="1"/>
  <c r="X24" i="20" a="1"/>
  <c r="X24" i="20" s="1"/>
  <c r="X22" i="20" a="1"/>
  <c r="X22" i="20" s="1"/>
  <c r="X18" i="20" a="1"/>
  <c r="X18" i="20" s="1"/>
  <c r="X38" i="20" a="1"/>
  <c r="X38" i="20" s="1"/>
  <c r="X20" i="20" a="1"/>
  <c r="X20" i="20" s="1"/>
  <c r="X12" i="20" a="1"/>
  <c r="X12" i="20" s="1"/>
  <c r="X16" i="20" a="1"/>
  <c r="X16" i="20" s="1"/>
  <c r="X14" i="20" a="1"/>
  <c r="X14" i="20" s="1"/>
  <c r="Z8" i="20"/>
  <c r="Y11" i="20"/>
  <c r="Y10" i="20"/>
  <c r="Y36" i="19" a="1"/>
  <c r="Y36" i="19" s="1"/>
  <c r="Y32" i="19" a="1"/>
  <c r="Y32" i="19" s="1"/>
  <c r="Y30" i="19" a="1"/>
  <c r="Y30" i="19" s="1"/>
  <c r="Y22" i="19" a="1"/>
  <c r="Y22" i="19" s="1"/>
  <c r="Y40" i="19" a="1"/>
  <c r="Y40" i="19" s="1"/>
  <c r="Y34" i="19" a="1"/>
  <c r="Y34" i="19" s="1"/>
  <c r="Y28" i="19" a="1"/>
  <c r="Y28" i="19" s="1"/>
  <c r="Y14" i="19" a="1"/>
  <c r="Y14" i="19" s="1"/>
  <c r="Y24" i="19" a="1"/>
  <c r="Y24" i="19" s="1"/>
  <c r="Y16" i="19" a="1"/>
  <c r="Y16" i="19" s="1"/>
  <c r="Y26" i="19" a="1"/>
  <c r="Y26" i="19" s="1"/>
  <c r="Z8" i="19"/>
  <c r="Y12" i="19" a="1"/>
  <c r="Y12" i="19" s="1"/>
  <c r="Y20" i="19" a="1"/>
  <c r="Y20" i="19" s="1"/>
  <c r="Y10" i="19"/>
  <c r="Y11" i="19"/>
  <c r="Y38" i="19" a="1"/>
  <c r="Y38" i="19" s="1"/>
  <c r="Y18" i="19" a="1"/>
  <c r="Y18" i="19" s="1"/>
  <c r="V10" i="12"/>
  <c r="V11" i="12"/>
  <c r="W8" i="12"/>
  <c r="V12" i="12" a="1"/>
  <c r="V12" i="12" s="1"/>
  <c r="W42" i="12" a="1"/>
  <c r="W42" i="12" s="1"/>
  <c r="W41" i="12"/>
  <c r="W40" i="12"/>
  <c r="X38" i="12"/>
  <c r="W36" i="12" a="1"/>
  <c r="W36" i="12" s="1"/>
  <c r="W35" i="12"/>
  <c r="W34" i="12"/>
  <c r="X32" i="12"/>
  <c r="X17" i="12"/>
  <c r="X16" i="12"/>
  <c r="Y14" i="12"/>
  <c r="X18" i="12" a="1"/>
  <c r="X18" i="12" s="1"/>
  <c r="W54" i="12" a="1"/>
  <c r="W54" i="12" s="1"/>
  <c r="W53" i="12"/>
  <c r="W52" i="12"/>
  <c r="X50" i="12"/>
  <c r="W24" i="12" a="1"/>
  <c r="W24" i="12" s="1"/>
  <c r="W23" i="12"/>
  <c r="W22" i="12"/>
  <c r="X20" i="12"/>
  <c r="W78" i="12" a="1"/>
  <c r="W78" i="12" s="1"/>
  <c r="W77" i="12"/>
  <c r="W76" i="12"/>
  <c r="X74" i="12"/>
  <c r="W72" i="12" a="1"/>
  <c r="W72" i="12" s="1"/>
  <c r="W71" i="12"/>
  <c r="W70" i="12"/>
  <c r="X68" i="12"/>
  <c r="W60" i="12" a="1"/>
  <c r="W60" i="12" s="1"/>
  <c r="W59" i="12"/>
  <c r="W58" i="12"/>
  <c r="X56" i="12"/>
  <c r="W30" i="12" a="1"/>
  <c r="W30" i="12" s="1"/>
  <c r="W29" i="12"/>
  <c r="W28" i="12"/>
  <c r="X26" i="12"/>
  <c r="W48" i="12" a="1"/>
  <c r="W48" i="12" s="1"/>
  <c r="W47" i="12"/>
  <c r="W46" i="12"/>
  <c r="X44" i="12"/>
  <c r="V41" i="8"/>
  <c r="V42" i="8" s="1" a="1"/>
  <c r="V42" i="8" s="1"/>
  <c r="W38" i="8"/>
  <c r="V40" i="8"/>
  <c r="W66" i="8"/>
  <c r="W67" i="8" s="1" a="1"/>
  <c r="W67" i="8" s="1"/>
  <c r="X63" i="8"/>
  <c r="W65" i="8"/>
  <c r="W30" i="8"/>
  <c r="W31" i="8"/>
  <c r="W32" i="8" s="1" a="1"/>
  <c r="W32" i="8" s="1"/>
  <c r="X28" i="8"/>
  <c r="W46" i="8"/>
  <c r="W47" i="8" s="1" a="1"/>
  <c r="W47" i="8" s="1"/>
  <c r="X43" i="8"/>
  <c r="W45" i="8"/>
  <c r="X53" i="8"/>
  <c r="W56" i="8"/>
  <c r="W57" i="8" s="1" a="1"/>
  <c r="W57" i="8" s="1"/>
  <c r="W55" i="8"/>
  <c r="W11" i="8"/>
  <c r="W12" i="8" s="1" a="1"/>
  <c r="W12" i="8" s="1"/>
  <c r="X8" i="8"/>
  <c r="W10" i="8"/>
  <c r="W61" i="8"/>
  <c r="W62" i="8" s="1" a="1"/>
  <c r="W62" i="8" s="1"/>
  <c r="X58" i="8"/>
  <c r="W60" i="8"/>
  <c r="X48" i="8"/>
  <c r="W51" i="8"/>
  <c r="W52" i="8" s="1" a="1"/>
  <c r="W52" i="8" s="1"/>
  <c r="W50" i="8"/>
  <c r="V35" i="8"/>
  <c r="V36" i="8"/>
  <c r="V37" i="8" s="1" a="1"/>
  <c r="V37" i="8" s="1"/>
  <c r="W33" i="8"/>
  <c r="W26" i="8"/>
  <c r="W27" i="8" s="1" a="1"/>
  <c r="W27" i="8" s="1"/>
  <c r="X23" i="8"/>
  <c r="W25" i="8"/>
  <c r="X21" i="8"/>
  <c r="X22" i="8" s="1" a="1"/>
  <c r="X22" i="8" s="1"/>
  <c r="Y18" i="8"/>
  <c r="X20" i="8"/>
  <c r="V15" i="8"/>
  <c r="V16" i="8"/>
  <c r="V17" i="8" s="1" a="1"/>
  <c r="V17" i="8" s="1"/>
  <c r="W13" i="8"/>
  <c r="AB9" i="39" l="1"/>
  <c r="AB14" i="39" s="1"/>
  <c r="AB51" i="39" s="1"/>
  <c r="AA13" i="39"/>
  <c r="AA52" i="39" s="1"/>
  <c r="Y12" i="36" a="1"/>
  <c r="Y12" i="36" s="1"/>
  <c r="Y30" i="36" a="1"/>
  <c r="Y30" i="36" s="1"/>
  <c r="Z40" i="36"/>
  <c r="AA38" i="36"/>
  <c r="Z41" i="36"/>
  <c r="Z42" i="36" s="1" a="1"/>
  <c r="Z42" i="36" s="1"/>
  <c r="Z77" i="36"/>
  <c r="Z78" i="36" s="1" a="1"/>
  <c r="Z78" i="36" s="1"/>
  <c r="Z76" i="36"/>
  <c r="AA74" i="36"/>
  <c r="AB64" i="36"/>
  <c r="AB65" i="36"/>
  <c r="AB66" i="36" s="1" a="1"/>
  <c r="AB66" i="36" s="1"/>
  <c r="AC62" i="36"/>
  <c r="Z46" i="36"/>
  <c r="AA44" i="36"/>
  <c r="Z47" i="36"/>
  <c r="Z48" i="36" s="1" a="1"/>
  <c r="Z48" i="36" s="1"/>
  <c r="AB52" i="36"/>
  <c r="AC50" i="36"/>
  <c r="AB53" i="36"/>
  <c r="AB54" i="36" s="1" a="1"/>
  <c r="AB54" i="36" s="1"/>
  <c r="Z58" i="36"/>
  <c r="Z59" i="36"/>
  <c r="Z60" i="36" s="1" a="1"/>
  <c r="Z60" i="36" s="1"/>
  <c r="AA56" i="36"/>
  <c r="Z11" i="36"/>
  <c r="AA8" i="36"/>
  <c r="Z10" i="36"/>
  <c r="AA68" i="36"/>
  <c r="Z71" i="36"/>
  <c r="Z72" i="36" s="1" a="1"/>
  <c r="Z72" i="36" s="1"/>
  <c r="Z70" i="36"/>
  <c r="AA35" i="36"/>
  <c r="AA36" i="36" s="1" a="1"/>
  <c r="AA36" i="36" s="1"/>
  <c r="AA34" i="36"/>
  <c r="AB32" i="36"/>
  <c r="Z23" i="36"/>
  <c r="Z24" i="36" s="1" a="1"/>
  <c r="Z24" i="36" s="1"/>
  <c r="Z22" i="36"/>
  <c r="AA20" i="36"/>
  <c r="AA29" i="36"/>
  <c r="AA28" i="36"/>
  <c r="AB26" i="36"/>
  <c r="Z16" i="36"/>
  <c r="Z18" i="36" a="1"/>
  <c r="Z18" i="36" s="1"/>
  <c r="Z17" i="36"/>
  <c r="AA14" i="36"/>
  <c r="Z22" i="35" a="1"/>
  <c r="Z22" i="35" s="1"/>
  <c r="Z21" i="35"/>
  <c r="Z20" i="35"/>
  <c r="AA18" i="35"/>
  <c r="Z42" i="35" a="1"/>
  <c r="Z42" i="35" s="1"/>
  <c r="Z41" i="35"/>
  <c r="AA38" i="35"/>
  <c r="Z40" i="35"/>
  <c r="Z65" i="35"/>
  <c r="AA63" i="35"/>
  <c r="Z66" i="35"/>
  <c r="Z67" i="35" a="1"/>
  <c r="Z67" i="35" s="1"/>
  <c r="AA50" i="35"/>
  <c r="AA52" i="35" a="1"/>
  <c r="AA52" i="35" s="1"/>
  <c r="AB48" i="35"/>
  <c r="AA51" i="35"/>
  <c r="AA27" i="35" a="1"/>
  <c r="AA27" i="35" s="1"/>
  <c r="AB23" i="35"/>
  <c r="AA25" i="35"/>
  <c r="AA26" i="35"/>
  <c r="Z30" i="35"/>
  <c r="AA28" i="35"/>
  <c r="Z31" i="35"/>
  <c r="Z32" i="35" a="1"/>
  <c r="Z32" i="35" s="1"/>
  <c r="AA45" i="35"/>
  <c r="AA47" i="35" a="1"/>
  <c r="AA47" i="35" s="1"/>
  <c r="AB43" i="35"/>
  <c r="AA46" i="35"/>
  <c r="Z62" i="35" a="1"/>
  <c r="Z62" i="35" s="1"/>
  <c r="Z60" i="35"/>
  <c r="Z61" i="35"/>
  <c r="AA58" i="35"/>
  <c r="Z57" i="35" a="1"/>
  <c r="Z57" i="35" s="1"/>
  <c r="Z55" i="35"/>
  <c r="AA53" i="35"/>
  <c r="Z56" i="35"/>
  <c r="AA16" i="35"/>
  <c r="AA15" i="35"/>
  <c r="AB13" i="35"/>
  <c r="AA17" i="35" a="1"/>
  <c r="AA17" i="35" s="1"/>
  <c r="AA12" i="35" a="1"/>
  <c r="AA12" i="35" s="1"/>
  <c r="AA11" i="35"/>
  <c r="AA10" i="35"/>
  <c r="AB8" i="35"/>
  <c r="AA33" i="35"/>
  <c r="Z37" i="35" a="1"/>
  <c r="Z37" i="35" s="1"/>
  <c r="Z36" i="35"/>
  <c r="Z35" i="35"/>
  <c r="W66" i="12" a="1"/>
  <c r="W66" i="12" s="1"/>
  <c r="W65" i="12"/>
  <c r="X62" i="12"/>
  <c r="W64" i="12"/>
  <c r="Y38" i="20" a="1"/>
  <c r="Y38" i="20" s="1"/>
  <c r="Y32" i="20" a="1"/>
  <c r="Y32" i="20" s="1"/>
  <c r="Y28" i="20" a="1"/>
  <c r="Y28" i="20" s="1"/>
  <c r="Y36" i="20" a="1"/>
  <c r="Y36" i="20" s="1"/>
  <c r="Y34" i="20" a="1"/>
  <c r="Y34" i="20" s="1"/>
  <c r="Y30" i="20" a="1"/>
  <c r="Y30" i="20" s="1"/>
  <c r="Y20" i="20" a="1"/>
  <c r="Y20" i="20" s="1"/>
  <c r="Y26" i="20" a="1"/>
  <c r="Y26" i="20" s="1"/>
  <c r="Y24" i="20" a="1"/>
  <c r="Y24" i="20" s="1"/>
  <c r="Y22" i="20" a="1"/>
  <c r="Y22" i="20" s="1"/>
  <c r="Y18" i="20" a="1"/>
  <c r="Y18" i="20" s="1"/>
  <c r="Y40" i="20" a="1"/>
  <c r="Y40" i="20" s="1"/>
  <c r="Y16" i="20" a="1"/>
  <c r="Y16" i="20" s="1"/>
  <c r="Y14" i="20" a="1"/>
  <c r="Y14" i="20" s="1"/>
  <c r="Y12" i="20" a="1"/>
  <c r="Y12" i="20" s="1"/>
  <c r="Z10" i="20"/>
  <c r="Z11" i="20"/>
  <c r="AA8" i="20"/>
  <c r="Z40" i="19" a="1"/>
  <c r="Z40" i="19" s="1"/>
  <c r="Z32" i="19" a="1"/>
  <c r="Z32" i="19" s="1"/>
  <c r="Z26" i="19" a="1"/>
  <c r="Z26" i="19" s="1"/>
  <c r="Z18" i="19" a="1"/>
  <c r="Z18" i="19" s="1"/>
  <c r="Z36" i="19" a="1"/>
  <c r="Z36" i="19" s="1"/>
  <c r="Z28" i="19" a="1"/>
  <c r="Z28" i="19" s="1"/>
  <c r="Z38" i="19" a="1"/>
  <c r="Z38" i="19" s="1"/>
  <c r="Z30" i="19" a="1"/>
  <c r="Z30" i="19" s="1"/>
  <c r="Z24" i="19" a="1"/>
  <c r="Z24" i="19" s="1"/>
  <c r="Z20" i="19" a="1"/>
  <c r="Z20" i="19" s="1"/>
  <c r="Z12" i="19" a="1"/>
  <c r="Z12" i="19" s="1"/>
  <c r="AA8" i="19"/>
  <c r="Z34" i="19" a="1"/>
  <c r="Z34" i="19" s="1"/>
  <c r="Z22" i="19" a="1"/>
  <c r="Z22" i="19" s="1"/>
  <c r="Z10" i="19"/>
  <c r="Z14" i="19" a="1"/>
  <c r="Z14" i="19" s="1"/>
  <c r="Z11" i="19"/>
  <c r="Z16" i="19" a="1"/>
  <c r="Z16" i="19" s="1"/>
  <c r="W11" i="12"/>
  <c r="W10" i="12"/>
  <c r="W12" i="12" a="1"/>
  <c r="W12" i="12" s="1"/>
  <c r="X8" i="12"/>
  <c r="X36" i="12" a="1"/>
  <c r="X36" i="12" s="1"/>
  <c r="X35" i="12"/>
  <c r="X34" i="12"/>
  <c r="Y32" i="12"/>
  <c r="X42" i="12" a="1"/>
  <c r="X42" i="12" s="1"/>
  <c r="X41" i="12"/>
  <c r="X40" i="12"/>
  <c r="Y38" i="12"/>
  <c r="X23" i="12"/>
  <c r="X22" i="12"/>
  <c r="Y20" i="12"/>
  <c r="X24" i="12" a="1"/>
  <c r="X24" i="12" s="1"/>
  <c r="Y18" i="12" a="1"/>
  <c r="Y18" i="12" s="1"/>
  <c r="Y17" i="12"/>
  <c r="Y16" i="12"/>
  <c r="Z14" i="12"/>
  <c r="X48" i="12" a="1"/>
  <c r="X48" i="12" s="1"/>
  <c r="X47" i="12"/>
  <c r="X46" i="12"/>
  <c r="Y44" i="12"/>
  <c r="X29" i="12"/>
  <c r="X28" i="12"/>
  <c r="Y26" i="12"/>
  <c r="X30" i="12" a="1"/>
  <c r="X30" i="12" s="1"/>
  <c r="X59" i="12"/>
  <c r="X58" i="12"/>
  <c r="Y56" i="12"/>
  <c r="X60" i="12" a="1"/>
  <c r="X60" i="12" s="1"/>
  <c r="X71" i="12"/>
  <c r="X70" i="12"/>
  <c r="Y68" i="12"/>
  <c r="X72" i="12" a="1"/>
  <c r="X72" i="12" s="1"/>
  <c r="X77" i="12"/>
  <c r="X76" i="12"/>
  <c r="Y74" i="12"/>
  <c r="X78" i="12" a="1"/>
  <c r="X78" i="12" s="1"/>
  <c r="X53" i="12"/>
  <c r="X52" i="12"/>
  <c r="Y50" i="12"/>
  <c r="X54" i="12" a="1"/>
  <c r="X54" i="12" s="1"/>
  <c r="W41" i="8"/>
  <c r="W42" i="8" s="1" a="1"/>
  <c r="W42" i="8" s="1"/>
  <c r="W40" i="8"/>
  <c r="X38" i="8"/>
  <c r="W16" i="8"/>
  <c r="W17" i="8" s="1" a="1"/>
  <c r="W17" i="8" s="1"/>
  <c r="X13" i="8"/>
  <c r="W15" i="8"/>
  <c r="X46" i="8"/>
  <c r="X47" i="8" s="1" a="1"/>
  <c r="X47" i="8" s="1"/>
  <c r="Y43" i="8"/>
  <c r="X45" i="8"/>
  <c r="Y20" i="8"/>
  <c r="Y21" i="8"/>
  <c r="Y22" i="8" s="1" a="1"/>
  <c r="Y22" i="8" s="1"/>
  <c r="Z18" i="8"/>
  <c r="X50" i="8"/>
  <c r="X51" i="8"/>
  <c r="X52" i="8" s="1" a="1"/>
  <c r="X52" i="8" s="1"/>
  <c r="Y48" i="8"/>
  <c r="X11" i="8"/>
  <c r="X12" i="8" s="1" a="1"/>
  <c r="X12" i="8" s="1"/>
  <c r="Y8" i="8"/>
  <c r="X10" i="8"/>
  <c r="X55" i="8"/>
  <c r="X56" i="8"/>
  <c r="X57" i="8" s="1" a="1"/>
  <c r="X57" i="8" s="1"/>
  <c r="Y53" i="8"/>
  <c r="X31" i="8"/>
  <c r="X32" i="8" s="1" a="1"/>
  <c r="X32" i="8" s="1"/>
  <c r="Y28" i="8"/>
  <c r="X30" i="8"/>
  <c r="Y63" i="8"/>
  <c r="X65" i="8"/>
  <c r="X66" i="8"/>
  <c r="X67" i="8" s="1" a="1"/>
  <c r="X67" i="8" s="1"/>
  <c r="W36" i="8"/>
  <c r="W37" i="8" s="1" a="1"/>
  <c r="W37" i="8" s="1"/>
  <c r="X33" i="8"/>
  <c r="W35" i="8"/>
  <c r="X25" i="8"/>
  <c r="Y23" i="8"/>
  <c r="X26" i="8"/>
  <c r="X27" i="8" s="1" a="1"/>
  <c r="X27" i="8" s="1"/>
  <c r="Y58" i="8"/>
  <c r="X60" i="8"/>
  <c r="X61" i="8"/>
  <c r="X62" i="8" s="1" a="1"/>
  <c r="X62" i="8" s="1"/>
  <c r="AC9" i="39" l="1"/>
  <c r="AC14" i="39" s="1"/>
  <c r="AC51" i="39" s="1"/>
  <c r="AB13" i="39"/>
  <c r="AB52" i="39" s="1"/>
  <c r="Z12" i="36" a="1"/>
  <c r="Z12" i="36" s="1"/>
  <c r="Z30" i="36" a="1"/>
  <c r="Z30" i="36" s="1"/>
  <c r="AA17" i="36"/>
  <c r="AB14" i="36"/>
  <c r="AA18" i="36" a="1"/>
  <c r="AA18" i="36" s="1"/>
  <c r="AA16" i="36"/>
  <c r="AB28" i="36"/>
  <c r="AC26" i="36"/>
  <c r="AB29" i="36"/>
  <c r="AA22" i="36"/>
  <c r="AB20" i="36"/>
  <c r="AA23" i="36"/>
  <c r="AA24" i="36" s="1" a="1"/>
  <c r="AA24" i="36" s="1"/>
  <c r="AB34" i="36"/>
  <c r="AC32" i="36"/>
  <c r="AB35" i="36"/>
  <c r="AB36" i="36" s="1" a="1"/>
  <c r="AB36" i="36" s="1"/>
  <c r="AC64" i="36"/>
  <c r="AC65" i="36"/>
  <c r="AC66" i="36" s="1" a="1"/>
  <c r="AC66" i="36" s="1"/>
  <c r="AD62" i="36"/>
  <c r="AA77" i="36"/>
  <c r="AA78" i="36" s="1" a="1"/>
  <c r="AA78" i="36" s="1"/>
  <c r="AA76" i="36"/>
  <c r="AB74" i="36"/>
  <c r="AA46" i="36"/>
  <c r="AA47" i="36"/>
  <c r="AA48" i="36" s="1" a="1"/>
  <c r="AA48" i="36" s="1"/>
  <c r="AB44" i="36"/>
  <c r="AA40" i="36"/>
  <c r="AB38" i="36"/>
  <c r="AA41" i="36"/>
  <c r="AA42" i="36" s="1" a="1"/>
  <c r="AA42" i="36" s="1"/>
  <c r="AA58" i="36"/>
  <c r="AB56" i="36"/>
  <c r="AA59" i="36"/>
  <c r="AA60" i="36" s="1" a="1"/>
  <c r="AA60" i="36" s="1"/>
  <c r="AA10" i="36"/>
  <c r="AA11" i="36"/>
  <c r="AB8" i="36"/>
  <c r="AC52" i="36"/>
  <c r="AD50" i="36"/>
  <c r="AC53" i="36"/>
  <c r="AC54" i="36" s="1" a="1"/>
  <c r="AC54" i="36" s="1"/>
  <c r="AA71" i="36"/>
  <c r="AA72" i="36" s="1" a="1"/>
  <c r="AA72" i="36" s="1"/>
  <c r="AA70" i="36"/>
  <c r="AB68" i="36"/>
  <c r="AA20" i="35"/>
  <c r="AB18" i="35"/>
  <c r="AA22" i="35" a="1"/>
  <c r="AA22" i="35" s="1"/>
  <c r="AA21" i="35"/>
  <c r="AA41" i="35"/>
  <c r="AA40" i="35"/>
  <c r="AB38" i="35"/>
  <c r="AA42" i="35" a="1"/>
  <c r="AA42" i="35" s="1"/>
  <c r="AA60" i="35"/>
  <c r="AA61" i="35"/>
  <c r="AA62" i="35" a="1"/>
  <c r="AA62" i="35" s="1"/>
  <c r="AB58" i="35"/>
  <c r="AB12" i="35" a="1"/>
  <c r="AB12" i="35" s="1"/>
  <c r="AB11" i="35"/>
  <c r="AB10" i="35"/>
  <c r="AC8" i="35"/>
  <c r="AB15" i="35"/>
  <c r="AC13" i="35"/>
  <c r="AB17" i="35" a="1"/>
  <c r="AB17" i="35" s="1"/>
  <c r="AB16" i="35"/>
  <c r="AB53" i="35"/>
  <c r="AA56" i="35"/>
  <c r="AA57" i="35" a="1"/>
  <c r="AA57" i="35" s="1"/>
  <c r="AA55" i="35"/>
  <c r="AB47" i="35" a="1"/>
  <c r="AB47" i="35" s="1"/>
  <c r="AC43" i="35"/>
  <c r="AB46" i="35"/>
  <c r="AB45" i="35"/>
  <c r="AB52" i="35" a="1"/>
  <c r="AB52" i="35" s="1"/>
  <c r="AC48" i="35"/>
  <c r="AB51" i="35"/>
  <c r="AB50" i="35"/>
  <c r="AA32" i="35" a="1"/>
  <c r="AA32" i="35" s="1"/>
  <c r="AA31" i="35"/>
  <c r="AA30" i="35"/>
  <c r="AB28" i="35"/>
  <c r="AC23" i="35"/>
  <c r="AB26" i="35"/>
  <c r="AB25" i="35"/>
  <c r="AB27" i="35" a="1"/>
  <c r="AB27" i="35" s="1"/>
  <c r="AA67" i="35" a="1"/>
  <c r="AA67" i="35" s="1"/>
  <c r="AB63" i="35"/>
  <c r="AA65" i="35"/>
  <c r="AA66" i="35"/>
  <c r="AA37" i="35" a="1"/>
  <c r="AA37" i="35" s="1"/>
  <c r="AB33" i="35"/>
  <c r="AA36" i="35"/>
  <c r="AA35" i="35"/>
  <c r="Y62" i="12"/>
  <c r="X66" i="12" a="1"/>
  <c r="X66" i="12" s="1"/>
  <c r="X65" i="12"/>
  <c r="X64" i="12"/>
  <c r="Z36" i="20" a="1"/>
  <c r="Z36" i="20" s="1"/>
  <c r="Z40" i="20" a="1"/>
  <c r="Z40" i="20" s="1"/>
  <c r="Z34" i="20" a="1"/>
  <c r="Z34" i="20" s="1"/>
  <c r="Z30" i="20" a="1"/>
  <c r="Z30" i="20" s="1"/>
  <c r="Z38" i="20" a="1"/>
  <c r="Z38" i="20" s="1"/>
  <c r="Z28" i="20" a="1"/>
  <c r="Z28" i="20" s="1"/>
  <c r="Z22" i="20" a="1"/>
  <c r="Z22" i="20" s="1"/>
  <c r="Z18" i="20" a="1"/>
  <c r="Z18" i="20" s="1"/>
  <c r="Z32" i="20" a="1"/>
  <c r="Z32" i="20" s="1"/>
  <c r="Z20" i="20" a="1"/>
  <c r="Z20" i="20" s="1"/>
  <c r="Z26" i="20" a="1"/>
  <c r="Z26" i="20" s="1"/>
  <c r="Z24" i="20" a="1"/>
  <c r="Z24" i="20" s="1"/>
  <c r="Z12" i="20" a="1"/>
  <c r="Z12" i="20" s="1"/>
  <c r="Z14" i="20" a="1"/>
  <c r="Z14" i="20" s="1"/>
  <c r="Z16" i="20" a="1"/>
  <c r="Z16" i="20" s="1"/>
  <c r="AA11" i="20"/>
  <c r="AB8" i="20"/>
  <c r="AA10" i="20"/>
  <c r="AA36" i="19" a="1"/>
  <c r="AA36" i="19" s="1"/>
  <c r="AA38" i="19" a="1"/>
  <c r="AA38" i="19" s="1"/>
  <c r="AA30" i="19" a="1"/>
  <c r="AA30" i="19" s="1"/>
  <c r="AA22" i="19" a="1"/>
  <c r="AA22" i="19" s="1"/>
  <c r="AA32" i="19" a="1"/>
  <c r="AA32" i="19" s="1"/>
  <c r="AA40" i="19" a="1"/>
  <c r="AA40" i="19" s="1"/>
  <c r="AA34" i="19" a="1"/>
  <c r="AA34" i="19" s="1"/>
  <c r="AA26" i="19" a="1"/>
  <c r="AA26" i="19" s="1"/>
  <c r="AA20" i="19" a="1"/>
  <c r="AA20" i="19" s="1"/>
  <c r="AA14" i="19" a="1"/>
  <c r="AA14" i="19" s="1"/>
  <c r="AA16" i="19" a="1"/>
  <c r="AA16" i="19" s="1"/>
  <c r="AA10" i="19"/>
  <c r="AA28" i="19" a="1"/>
  <c r="AA28" i="19" s="1"/>
  <c r="AA24" i="19" a="1"/>
  <c r="AA24" i="19" s="1"/>
  <c r="AA11" i="19"/>
  <c r="AA18" i="19" a="1"/>
  <c r="AA18" i="19" s="1"/>
  <c r="AA12" i="19" a="1"/>
  <c r="AA12" i="19" s="1"/>
  <c r="AB8" i="19"/>
  <c r="X10" i="12"/>
  <c r="Y8" i="12"/>
  <c r="X12" i="12" a="1"/>
  <c r="X12" i="12" s="1"/>
  <c r="X11" i="12"/>
  <c r="Y42" i="12" a="1"/>
  <c r="Y42" i="12" s="1"/>
  <c r="Y41" i="12"/>
  <c r="Y40" i="12"/>
  <c r="Z38" i="12"/>
  <c r="Y36" i="12" a="1"/>
  <c r="Y36" i="12" s="1"/>
  <c r="Y35" i="12"/>
  <c r="Y34" i="12"/>
  <c r="Z32" i="12"/>
  <c r="Y48" i="12" a="1"/>
  <c r="Y48" i="12" s="1"/>
  <c r="Y47" i="12"/>
  <c r="Y46" i="12"/>
  <c r="Z44" i="12"/>
  <c r="Z18" i="12" a="1"/>
  <c r="Z18" i="12" s="1"/>
  <c r="AA14" i="12"/>
  <c r="Z17" i="12"/>
  <c r="Z16" i="12"/>
  <c r="Y54" i="12" a="1"/>
  <c r="Y54" i="12" s="1"/>
  <c r="Y52" i="12"/>
  <c r="Z50" i="12"/>
  <c r="Y53" i="12"/>
  <c r="Y78" i="12" a="1"/>
  <c r="Y78" i="12" s="1"/>
  <c r="Y77" i="12"/>
  <c r="Y76" i="12"/>
  <c r="Z74" i="12"/>
  <c r="Y72" i="12" a="1"/>
  <c r="Y72" i="12" s="1"/>
  <c r="Y71" i="12"/>
  <c r="Y70" i="12"/>
  <c r="Z68" i="12"/>
  <c r="Y59" i="12"/>
  <c r="Y58" i="12"/>
  <c r="Z56" i="12"/>
  <c r="Y60" i="12" a="1"/>
  <c r="Y60" i="12" s="1"/>
  <c r="Y30" i="12" a="1"/>
  <c r="Y30" i="12" s="1"/>
  <c r="Z26" i="12"/>
  <c r="Y29" i="12"/>
  <c r="Y28" i="12"/>
  <c r="Y24" i="12" a="1"/>
  <c r="Y24" i="12" s="1"/>
  <c r="Y23" i="12"/>
  <c r="Y22" i="12"/>
  <c r="Z20" i="12"/>
  <c r="X40" i="8"/>
  <c r="Y38" i="8"/>
  <c r="X41" i="8"/>
  <c r="X42" i="8" s="1" a="1"/>
  <c r="X42" i="8" s="1"/>
  <c r="Y26" i="8"/>
  <c r="Y27" i="8" s="1" a="1"/>
  <c r="Y27" i="8" s="1"/>
  <c r="Z23" i="8"/>
  <c r="Y25" i="8"/>
  <c r="Z21" i="8"/>
  <c r="Z22" i="8" s="1" a="1"/>
  <c r="Z22" i="8" s="1"/>
  <c r="AA18" i="8"/>
  <c r="Z20" i="8"/>
  <c r="Y46" i="8"/>
  <c r="Y47" i="8" s="1" a="1"/>
  <c r="Y47" i="8" s="1"/>
  <c r="Y45" i="8"/>
  <c r="Z43" i="8"/>
  <c r="Y13" i="8"/>
  <c r="X15" i="8"/>
  <c r="X16" i="8"/>
  <c r="X17" i="8" s="1" a="1"/>
  <c r="X17" i="8" s="1"/>
  <c r="Z28" i="8"/>
  <c r="Y30" i="8"/>
  <c r="Y31" i="8"/>
  <c r="Y32" i="8" s="1" a="1"/>
  <c r="Y32" i="8" s="1"/>
  <c r="Y51" i="8"/>
  <c r="Y52" i="8" s="1" a="1"/>
  <c r="Y52" i="8" s="1"/>
  <c r="Z48" i="8"/>
  <c r="Y50" i="8"/>
  <c r="Z58" i="8"/>
  <c r="Y60" i="8"/>
  <c r="Y61" i="8"/>
  <c r="Y62" i="8" s="1" a="1"/>
  <c r="Y62" i="8" s="1"/>
  <c r="Y33" i="8"/>
  <c r="X35" i="8"/>
  <c r="X36" i="8"/>
  <c r="X37" i="8" s="1" a="1"/>
  <c r="X37" i="8" s="1"/>
  <c r="Z63" i="8"/>
  <c r="Y65" i="8"/>
  <c r="Y66" i="8"/>
  <c r="Y67" i="8" s="1" a="1"/>
  <c r="Y67" i="8" s="1"/>
  <c r="Y56" i="8"/>
  <c r="Y57" i="8" s="1" a="1"/>
  <c r="Y57" i="8" s="1"/>
  <c r="Z53" i="8"/>
  <c r="Y55" i="8"/>
  <c r="Z8" i="8"/>
  <c r="Y10" i="8"/>
  <c r="Y11" i="8"/>
  <c r="Y12" i="8" s="1" a="1"/>
  <c r="Y12" i="8" s="1"/>
  <c r="AD9" i="39" l="1"/>
  <c r="AD14" i="39" s="1"/>
  <c r="AD51" i="39" s="1"/>
  <c r="AC13" i="39"/>
  <c r="AC52" i="39" s="1"/>
  <c r="AA30" i="36" a="1"/>
  <c r="AA30" i="36" s="1"/>
  <c r="AA12" i="36" a="1"/>
  <c r="AA12" i="36" s="1"/>
  <c r="AB70" i="36"/>
  <c r="AB71" i="36"/>
  <c r="AB72" i="36" s="1" a="1"/>
  <c r="AB72" i="36" s="1"/>
  <c r="AC68" i="36"/>
  <c r="AB11" i="36"/>
  <c r="AC8" i="36"/>
  <c r="AB10" i="36"/>
  <c r="AC44" i="36"/>
  <c r="AB47" i="36"/>
  <c r="AB48" i="36" s="1" a="1"/>
  <c r="AB48" i="36" s="1"/>
  <c r="AB46" i="36"/>
  <c r="AB76" i="36"/>
  <c r="AC74" i="36"/>
  <c r="AB77" i="36"/>
  <c r="AB78" i="36" s="1" a="1"/>
  <c r="AB78" i="36" s="1"/>
  <c r="AE62" i="36"/>
  <c r="AD65" i="36"/>
  <c r="AD66" i="36" s="1" a="1"/>
  <c r="AD66" i="36" s="1"/>
  <c r="AD64" i="36"/>
  <c r="AE50" i="36"/>
  <c r="AD53" i="36"/>
  <c r="AD54" i="36" s="1" a="1"/>
  <c r="AD54" i="36" s="1"/>
  <c r="AD52" i="36"/>
  <c r="AC56" i="36"/>
  <c r="AB59" i="36"/>
  <c r="AB60" i="36" s="1" a="1"/>
  <c r="AB60" i="36" s="1"/>
  <c r="AB58" i="36"/>
  <c r="AC34" i="36"/>
  <c r="AD32" i="36"/>
  <c r="AC35" i="36"/>
  <c r="AC36" i="36" s="1" a="1"/>
  <c r="AC36" i="36" s="1"/>
  <c r="AB22" i="36"/>
  <c r="AC20" i="36"/>
  <c r="AB23" i="36"/>
  <c r="AB24" i="36" s="1" a="1"/>
  <c r="AB24" i="36" s="1"/>
  <c r="AC28" i="36"/>
  <c r="AD26" i="36"/>
  <c r="AC29" i="36"/>
  <c r="AC38" i="36"/>
  <c r="AB41" i="36"/>
  <c r="AB42" i="36" s="1" a="1"/>
  <c r="AB42" i="36" s="1"/>
  <c r="AB40" i="36"/>
  <c r="AB18" i="36" a="1"/>
  <c r="AB18" i="36" s="1"/>
  <c r="AB17" i="36"/>
  <c r="AC14" i="36"/>
  <c r="AB16" i="36"/>
  <c r="AC18" i="35"/>
  <c r="AB22" i="35" a="1"/>
  <c r="AB22" i="35" s="1"/>
  <c r="AB21" i="35"/>
  <c r="AB20" i="35"/>
  <c r="AB42" i="35" a="1"/>
  <c r="AB42" i="35" s="1"/>
  <c r="AC38" i="35"/>
  <c r="AB41" i="35"/>
  <c r="AB40" i="35"/>
  <c r="AB31" i="35"/>
  <c r="AB30" i="35"/>
  <c r="AB32" i="35" a="1"/>
  <c r="AB32" i="35" s="1"/>
  <c r="AC28" i="35"/>
  <c r="AC12" i="35" a="1"/>
  <c r="AC12" i="35" s="1"/>
  <c r="AC11" i="35"/>
  <c r="AC10" i="35"/>
  <c r="AD8" i="35"/>
  <c r="AB62" i="35" a="1"/>
  <c r="AB62" i="35" s="1"/>
  <c r="AC58" i="35"/>
  <c r="AB60" i="35"/>
  <c r="AB61" i="35"/>
  <c r="AC26" i="35"/>
  <c r="AC27" i="35" a="1"/>
  <c r="AC27" i="35" s="1"/>
  <c r="AC25" i="35"/>
  <c r="AD23" i="35"/>
  <c r="AB36" i="35"/>
  <c r="AB35" i="35"/>
  <c r="AB37" i="35" a="1"/>
  <c r="AB37" i="35" s="1"/>
  <c r="AC33" i="35"/>
  <c r="AC63" i="35"/>
  <c r="AB66" i="35"/>
  <c r="AB67" i="35" a="1"/>
  <c r="AB67" i="35" s="1"/>
  <c r="AB65" i="35"/>
  <c r="AD48" i="35"/>
  <c r="AC51" i="35"/>
  <c r="AC52" i="35" a="1"/>
  <c r="AC52" i="35" s="1"/>
  <c r="AC50" i="35"/>
  <c r="AD43" i="35"/>
  <c r="AC46" i="35"/>
  <c r="AC45" i="35"/>
  <c r="AC47" i="35" a="1"/>
  <c r="AC47" i="35" s="1"/>
  <c r="AC15" i="35"/>
  <c r="AD13" i="35"/>
  <c r="AC17" i="35" a="1"/>
  <c r="AC17" i="35" s="1"/>
  <c r="AC16" i="35"/>
  <c r="AB57" i="35" a="1"/>
  <c r="AB57" i="35" s="1"/>
  <c r="AB56" i="35"/>
  <c r="AB55" i="35"/>
  <c r="AC53" i="35"/>
  <c r="Z62" i="12"/>
  <c r="Y66" i="12" a="1"/>
  <c r="Y66" i="12" s="1"/>
  <c r="Y64" i="12"/>
  <c r="Y65" i="12"/>
  <c r="AA32" i="20" a="1"/>
  <c r="AA32" i="20" s="1"/>
  <c r="AA28" i="20" a="1"/>
  <c r="AA28" i="20" s="1"/>
  <c r="AA36" i="20" a="1"/>
  <c r="AA36" i="20" s="1"/>
  <c r="AA40" i="20" a="1"/>
  <c r="AA40" i="20" s="1"/>
  <c r="AA30" i="20" a="1"/>
  <c r="AA30" i="20" s="1"/>
  <c r="AA26" i="20" a="1"/>
  <c r="AA26" i="20" s="1"/>
  <c r="AA24" i="20" a="1"/>
  <c r="AA24" i="20" s="1"/>
  <c r="AA34" i="20" a="1"/>
  <c r="AA34" i="20" s="1"/>
  <c r="AA22" i="20" a="1"/>
  <c r="AA22" i="20" s="1"/>
  <c r="AA18" i="20" a="1"/>
  <c r="AA18" i="20" s="1"/>
  <c r="AA38" i="20" a="1"/>
  <c r="AA38" i="20" s="1"/>
  <c r="AA20" i="20" a="1"/>
  <c r="AA20" i="20" s="1"/>
  <c r="AA12" i="20" a="1"/>
  <c r="AA12" i="20" s="1"/>
  <c r="AA16" i="20" a="1"/>
  <c r="AA16" i="20" s="1"/>
  <c r="AA14" i="20" a="1"/>
  <c r="AA14" i="20" s="1"/>
  <c r="AB10" i="20"/>
  <c r="AC8" i="20"/>
  <c r="AB11" i="20"/>
  <c r="AB40" i="19" a="1"/>
  <c r="AB40" i="19" s="1"/>
  <c r="AB32" i="19" a="1"/>
  <c r="AB32" i="19" s="1"/>
  <c r="AB34" i="19" a="1"/>
  <c r="AB34" i="19" s="1"/>
  <c r="AB26" i="19" a="1"/>
  <c r="AB26" i="19" s="1"/>
  <c r="AB18" i="19" a="1"/>
  <c r="AB18" i="19" s="1"/>
  <c r="AB28" i="19" a="1"/>
  <c r="AB28" i="19" s="1"/>
  <c r="AB36" i="19" a="1"/>
  <c r="AB36" i="19" s="1"/>
  <c r="AB22" i="19" a="1"/>
  <c r="AB22" i="19" s="1"/>
  <c r="AB24" i="19" a="1"/>
  <c r="AB24" i="19" s="1"/>
  <c r="AB12" i="19" a="1"/>
  <c r="AB12" i="19" s="1"/>
  <c r="AB11" i="19"/>
  <c r="AB38" i="19" a="1"/>
  <c r="AB38" i="19" s="1"/>
  <c r="AB30" i="19" a="1"/>
  <c r="AB30" i="19" s="1"/>
  <c r="AB20" i="19" a="1"/>
  <c r="AB20" i="19" s="1"/>
  <c r="AB14" i="19" a="1"/>
  <c r="AB14" i="19" s="1"/>
  <c r="AB10" i="19"/>
  <c r="AB16" i="19" a="1"/>
  <c r="AB16" i="19" s="1"/>
  <c r="AC8" i="19"/>
  <c r="Y12" i="12" a="1"/>
  <c r="Y12" i="12" s="1"/>
  <c r="Y11" i="12"/>
  <c r="Y10" i="12"/>
  <c r="Z8" i="12"/>
  <c r="Z71" i="12"/>
  <c r="Z70" i="12"/>
  <c r="AA68" i="12"/>
  <c r="Z72" i="12" a="1"/>
  <c r="Z72" i="12" s="1"/>
  <c r="Z77" i="12"/>
  <c r="Z76" i="12"/>
  <c r="AA74" i="12"/>
  <c r="Z78" i="12" a="1"/>
  <c r="Z78" i="12" s="1"/>
  <c r="Z48" i="12" a="1"/>
  <c r="Z48" i="12" s="1"/>
  <c r="Z47" i="12"/>
  <c r="Z46" i="12"/>
  <c r="AA44" i="12"/>
  <c r="Z36" i="12" a="1"/>
  <c r="Z36" i="12" s="1"/>
  <c r="Z35" i="12"/>
  <c r="Z34" i="12"/>
  <c r="AA32" i="12"/>
  <c r="Z42" i="12" a="1"/>
  <c r="Z42" i="12" s="1"/>
  <c r="Z41" i="12"/>
  <c r="Z40" i="12"/>
  <c r="AA38" i="12"/>
  <c r="Z60" i="12" a="1"/>
  <c r="Z60" i="12" s="1"/>
  <c r="Z59" i="12"/>
  <c r="Z58" i="12"/>
  <c r="AA56" i="12"/>
  <c r="Z53" i="12"/>
  <c r="Z54" i="12" a="1"/>
  <c r="Z54" i="12" s="1"/>
  <c r="AA50" i="12"/>
  <c r="Z52" i="12"/>
  <c r="Z24" i="12" a="1"/>
  <c r="Z24" i="12" s="1"/>
  <c r="Z23" i="12"/>
  <c r="Z22" i="12"/>
  <c r="AA20" i="12"/>
  <c r="Z29" i="12"/>
  <c r="Z28" i="12"/>
  <c r="Z30" i="12" a="1"/>
  <c r="Z30" i="12" s="1"/>
  <c r="AA26" i="12"/>
  <c r="AA18" i="12" a="1"/>
  <c r="AA18" i="12" s="1"/>
  <c r="AA17" i="12"/>
  <c r="AA16" i="12"/>
  <c r="AB14" i="12"/>
  <c r="Z38" i="8"/>
  <c r="Y41" i="8"/>
  <c r="Y42" i="8" s="1" a="1"/>
  <c r="Y42" i="8" s="1"/>
  <c r="Y40" i="8"/>
  <c r="Z65" i="8"/>
  <c r="Z66" i="8"/>
  <c r="Z67" i="8" s="1" a="1"/>
  <c r="Z67" i="8" s="1"/>
  <c r="AA63" i="8"/>
  <c r="Z51" i="8"/>
  <c r="Z52" i="8" s="1" a="1"/>
  <c r="Z52" i="8" s="1"/>
  <c r="Z50" i="8"/>
  <c r="AA48" i="8"/>
  <c r="AA28" i="8"/>
  <c r="Z30" i="8"/>
  <c r="Z31" i="8"/>
  <c r="Z32" i="8" s="1" a="1"/>
  <c r="Z32" i="8" s="1"/>
  <c r="AA53" i="8"/>
  <c r="Z55" i="8"/>
  <c r="Z56" i="8"/>
  <c r="Z57" i="8" s="1" a="1"/>
  <c r="Z57" i="8" s="1"/>
  <c r="Z25" i="8"/>
  <c r="Z26" i="8"/>
  <c r="Z27" i="8" s="1" a="1"/>
  <c r="Z27" i="8" s="1"/>
  <c r="AA23" i="8"/>
  <c r="Z10" i="8"/>
  <c r="Z11" i="8"/>
  <c r="Z12" i="8" s="1" a="1"/>
  <c r="Z12" i="8" s="1"/>
  <c r="AA8" i="8"/>
  <c r="Z60" i="8"/>
  <c r="Z61" i="8"/>
  <c r="Z62" i="8" s="1" a="1"/>
  <c r="Z62" i="8" s="1"/>
  <c r="AA58" i="8"/>
  <c r="Z33" i="8"/>
  <c r="Y35" i="8"/>
  <c r="Y36" i="8"/>
  <c r="Y37" i="8" s="1" a="1"/>
  <c r="Y37" i="8" s="1"/>
  <c r="Z13" i="8"/>
  <c r="Y15" i="8"/>
  <c r="Y16" i="8"/>
  <c r="Y17" i="8" s="1" a="1"/>
  <c r="Y17" i="8" s="1"/>
  <c r="Z46" i="8"/>
  <c r="Z47" i="8" s="1" a="1"/>
  <c r="Z47" i="8" s="1"/>
  <c r="Z45" i="8"/>
  <c r="AA43" i="8"/>
  <c r="AA21" i="8"/>
  <c r="AA22" i="8" s="1" a="1"/>
  <c r="AA22" i="8" s="1"/>
  <c r="AB18" i="8"/>
  <c r="AA20" i="8"/>
  <c r="AE9" i="39" l="1"/>
  <c r="AE14" i="39" s="1"/>
  <c r="AE51" i="39" s="1"/>
  <c r="AD13" i="39"/>
  <c r="AD52" i="39" s="1"/>
  <c r="AB30" i="36" a="1"/>
  <c r="AB30" i="36" s="1"/>
  <c r="AB12" i="36" a="1"/>
  <c r="AB12" i="36" s="1"/>
  <c r="AC76" i="36"/>
  <c r="AC77" i="36"/>
  <c r="AC78" i="36" s="1" a="1"/>
  <c r="AC78" i="36" s="1"/>
  <c r="AD74" i="36"/>
  <c r="AC70" i="36"/>
  <c r="AD68" i="36"/>
  <c r="AC71" i="36"/>
  <c r="AC72" i="36" s="1" a="1"/>
  <c r="AC72" i="36" s="1"/>
  <c r="AC17" i="36"/>
  <c r="AD14" i="36"/>
  <c r="AC16" i="36"/>
  <c r="AC18" i="36" a="1"/>
  <c r="AC18" i="36" s="1"/>
  <c r="AE26" i="36"/>
  <c r="AD29" i="36"/>
  <c r="AD28" i="36"/>
  <c r="AC41" i="36"/>
  <c r="AC42" i="36" s="1" a="1"/>
  <c r="AC42" i="36" s="1"/>
  <c r="AC40" i="36"/>
  <c r="AD38" i="36"/>
  <c r="AD20" i="36"/>
  <c r="AC23" i="36"/>
  <c r="AC24" i="36" s="1" a="1"/>
  <c r="AC24" i="36" s="1"/>
  <c r="AC22" i="36"/>
  <c r="AE32" i="36"/>
  <c r="AD35" i="36"/>
  <c r="AD36" i="36" s="1" a="1"/>
  <c r="AD36" i="36" s="1"/>
  <c r="AD34" i="36"/>
  <c r="AE65" i="36"/>
  <c r="AE66" i="36" s="1" a="1"/>
  <c r="AE66" i="36" s="1"/>
  <c r="AF62" i="36"/>
  <c r="AE64" i="36"/>
  <c r="AC11" i="36"/>
  <c r="AD8" i="36"/>
  <c r="AC10" i="36"/>
  <c r="AC59" i="36"/>
  <c r="AC60" i="36" s="1" a="1"/>
  <c r="AC60" i="36" s="1"/>
  <c r="AC58" i="36"/>
  <c r="AD56" i="36"/>
  <c r="AE53" i="36"/>
  <c r="AE54" i="36" s="1" a="1"/>
  <c r="AE54" i="36" s="1"/>
  <c r="AE52" i="36"/>
  <c r="AF50" i="36"/>
  <c r="AC47" i="36"/>
  <c r="AC48" i="36" s="1" a="1"/>
  <c r="AC48" i="36" s="1"/>
  <c r="AC46" i="36"/>
  <c r="AD44" i="36"/>
  <c r="AD18" i="35"/>
  <c r="AC21" i="35"/>
  <c r="AC22" i="35" a="1"/>
  <c r="AC22" i="35" s="1"/>
  <c r="AC20" i="35"/>
  <c r="AD38" i="35"/>
  <c r="AC41" i="35"/>
  <c r="AC42" i="35" a="1"/>
  <c r="AC42" i="35" s="1"/>
  <c r="AC40" i="35"/>
  <c r="AD47" i="35" a="1"/>
  <c r="AD47" i="35" s="1"/>
  <c r="AD46" i="35"/>
  <c r="AD45" i="35"/>
  <c r="AE43" i="35"/>
  <c r="AD52" i="35" a="1"/>
  <c r="AD52" i="35" s="1"/>
  <c r="AD51" i="35"/>
  <c r="AD50" i="35"/>
  <c r="AE48" i="35"/>
  <c r="AC66" i="35"/>
  <c r="AC67" i="35" a="1"/>
  <c r="AC67" i="35" s="1"/>
  <c r="AC65" i="35"/>
  <c r="AD63" i="35"/>
  <c r="AC55" i="35"/>
  <c r="AD53" i="35"/>
  <c r="AC57" i="35" a="1"/>
  <c r="AC57" i="35" s="1"/>
  <c r="AC56" i="35"/>
  <c r="AC37" i="35" a="1"/>
  <c r="AC37" i="35" s="1"/>
  <c r="AC35" i="35"/>
  <c r="AD33" i="35"/>
  <c r="AC36" i="35"/>
  <c r="AD25" i="35"/>
  <c r="AD27" i="35" a="1"/>
  <c r="AD27" i="35" s="1"/>
  <c r="AE23" i="35"/>
  <c r="AD26" i="35"/>
  <c r="AD11" i="35"/>
  <c r="AD10" i="35"/>
  <c r="AE8" i="35"/>
  <c r="AD12" i="35" a="1"/>
  <c r="AD12" i="35" s="1"/>
  <c r="AC31" i="35"/>
  <c r="AC32" i="35" a="1"/>
  <c r="AC32" i="35" s="1"/>
  <c r="AC30" i="35"/>
  <c r="AD28" i="35"/>
  <c r="AD17" i="35" a="1"/>
  <c r="AD17" i="35" s="1"/>
  <c r="AD16" i="35"/>
  <c r="AD15" i="35"/>
  <c r="AE13" i="35"/>
  <c r="AC61" i="35"/>
  <c r="AC62" i="35" a="1"/>
  <c r="AC62" i="35" s="1"/>
  <c r="AD58" i="35"/>
  <c r="AC60" i="35"/>
  <c r="Z66" i="12" a="1"/>
  <c r="Z66" i="12" s="1"/>
  <c r="Z65" i="12"/>
  <c r="AA62" i="12"/>
  <c r="Z64" i="12"/>
  <c r="AB40" i="20" a="1"/>
  <c r="AB40" i="20" s="1"/>
  <c r="AB30" i="20" a="1"/>
  <c r="AB30" i="20" s="1"/>
  <c r="AB38" i="20" a="1"/>
  <c r="AB38" i="20" s="1"/>
  <c r="AB34" i="20" a="1"/>
  <c r="AB34" i="20" s="1"/>
  <c r="AB32" i="20" a="1"/>
  <c r="AB32" i="20" s="1"/>
  <c r="AB28" i="20" a="1"/>
  <c r="AB28" i="20" s="1"/>
  <c r="AB20" i="20" a="1"/>
  <c r="AB20" i="20" s="1"/>
  <c r="AB26" i="20" a="1"/>
  <c r="AB26" i="20" s="1"/>
  <c r="AB24" i="20" a="1"/>
  <c r="AB24" i="20" s="1"/>
  <c r="AB36" i="20" a="1"/>
  <c r="AB36" i="20" s="1"/>
  <c r="AB22" i="20" a="1"/>
  <c r="AB22" i="20" s="1"/>
  <c r="AB18" i="20" a="1"/>
  <c r="AB18" i="20" s="1"/>
  <c r="AB14" i="20" a="1"/>
  <c r="AB14" i="20" s="1"/>
  <c r="AB16" i="20" a="1"/>
  <c r="AB16" i="20" s="1"/>
  <c r="AB12" i="20" a="1"/>
  <c r="AB12" i="20" s="1"/>
  <c r="AC11" i="20"/>
  <c r="AD8" i="20"/>
  <c r="AC10" i="20"/>
  <c r="AC36" i="19" a="1"/>
  <c r="AC36" i="19" s="1"/>
  <c r="AC30" i="19" a="1"/>
  <c r="AC30" i="19" s="1"/>
  <c r="AC22" i="19" a="1"/>
  <c r="AC22" i="19" s="1"/>
  <c r="AC38" i="19" a="1"/>
  <c r="AC38" i="19" s="1"/>
  <c r="AC28" i="19" a="1"/>
  <c r="AC28" i="19" s="1"/>
  <c r="AC18" i="19" a="1"/>
  <c r="AC18" i="19" s="1"/>
  <c r="AC14" i="19" a="1"/>
  <c r="AC14" i="19" s="1"/>
  <c r="AC34" i="19" a="1"/>
  <c r="AC34" i="19" s="1"/>
  <c r="AC26" i="19" a="1"/>
  <c r="AC26" i="19" s="1"/>
  <c r="AC20" i="19" a="1"/>
  <c r="AC20" i="19" s="1"/>
  <c r="AC16" i="19" a="1"/>
  <c r="AC16" i="19" s="1"/>
  <c r="AC12" i="19" a="1"/>
  <c r="AC12" i="19" s="1"/>
  <c r="AC40" i="19" a="1"/>
  <c r="AC40" i="19" s="1"/>
  <c r="AC24" i="19" a="1"/>
  <c r="AC24" i="19" s="1"/>
  <c r="AD8" i="19"/>
  <c r="AC10" i="19"/>
  <c r="AC32" i="19" a="1"/>
  <c r="AC32" i="19" s="1"/>
  <c r="AC11" i="19"/>
  <c r="Z12" i="12" a="1"/>
  <c r="Z12" i="12" s="1"/>
  <c r="Z11" i="12"/>
  <c r="Z10" i="12"/>
  <c r="AA8" i="12"/>
  <c r="AA42" i="12" a="1"/>
  <c r="AA42" i="12" s="1"/>
  <c r="AA41" i="12"/>
  <c r="AA40" i="12"/>
  <c r="AB38" i="12"/>
  <c r="AA36" i="12" a="1"/>
  <c r="AA36" i="12" s="1"/>
  <c r="AA35" i="12"/>
  <c r="AA34" i="12"/>
  <c r="AB32" i="12"/>
  <c r="AA48" i="12" a="1"/>
  <c r="AA48" i="12" s="1"/>
  <c r="AA47" i="12"/>
  <c r="AA46" i="12"/>
  <c r="AB44" i="12"/>
  <c r="AA54" i="12" a="1"/>
  <c r="AA54" i="12" s="1"/>
  <c r="AA53" i="12"/>
  <c r="AA52" i="12"/>
  <c r="AB50" i="12"/>
  <c r="AA78" i="12" a="1"/>
  <c r="AA78" i="12" s="1"/>
  <c r="AA77" i="12"/>
  <c r="AA76" i="12"/>
  <c r="AB74" i="12"/>
  <c r="AA72" i="12" a="1"/>
  <c r="AA72" i="12" s="1"/>
  <c r="AA71" i="12"/>
  <c r="AA70" i="12"/>
  <c r="AB68" i="12"/>
  <c r="AB17" i="12"/>
  <c r="AB16" i="12"/>
  <c r="AC14" i="12"/>
  <c r="AB18" i="12" a="1"/>
  <c r="AB18" i="12" s="1"/>
  <c r="AA30" i="12" a="1"/>
  <c r="AA30" i="12" s="1"/>
  <c r="AA29" i="12"/>
  <c r="AA28" i="12"/>
  <c r="AB26" i="12"/>
  <c r="AA24" i="12" a="1"/>
  <c r="AA24" i="12" s="1"/>
  <c r="AA23" i="12"/>
  <c r="AA22" i="12"/>
  <c r="AB20" i="12"/>
  <c r="AA60" i="12" a="1"/>
  <c r="AA60" i="12" s="1"/>
  <c r="AA59" i="12"/>
  <c r="AA58" i="12"/>
  <c r="AB56" i="12"/>
  <c r="Z40" i="8"/>
  <c r="AA38" i="8"/>
  <c r="Z41" i="8"/>
  <c r="Z42" i="8" s="1" a="1"/>
  <c r="Z42" i="8" s="1"/>
  <c r="AA30" i="8"/>
  <c r="AA31" i="8"/>
  <c r="AA32" i="8" s="1" a="1"/>
  <c r="AA32" i="8" s="1"/>
  <c r="AB28" i="8"/>
  <c r="AA66" i="8"/>
  <c r="AA67" i="8" s="1" a="1"/>
  <c r="AA67" i="8" s="1"/>
  <c r="AB63" i="8"/>
  <c r="AA65" i="8"/>
  <c r="AB53" i="8"/>
  <c r="AA55" i="8"/>
  <c r="AA56" i="8"/>
  <c r="AA57" i="8" s="1" a="1"/>
  <c r="AA57" i="8" s="1"/>
  <c r="AB48" i="8"/>
  <c r="AA51" i="8"/>
  <c r="AA52" i="8" s="1" a="1"/>
  <c r="AA52" i="8" s="1"/>
  <c r="AA50" i="8"/>
  <c r="Z15" i="8"/>
  <c r="Z16" i="8"/>
  <c r="Z17" i="8" s="1" a="1"/>
  <c r="Z17" i="8" s="1"/>
  <c r="AA13" i="8"/>
  <c r="AA61" i="8"/>
  <c r="AA62" i="8" s="1" a="1"/>
  <c r="AA62" i="8" s="1"/>
  <c r="AA60" i="8"/>
  <c r="AB58" i="8"/>
  <c r="AC18" i="8"/>
  <c r="AB21" i="8"/>
  <c r="AB22" i="8" s="1" a="1"/>
  <c r="AB22" i="8" s="1"/>
  <c r="AB20" i="8"/>
  <c r="AA26" i="8"/>
  <c r="AA27" i="8" s="1" a="1"/>
  <c r="AA27" i="8" s="1"/>
  <c r="AA25" i="8"/>
  <c r="AB23" i="8"/>
  <c r="AB43" i="8"/>
  <c r="AA45" i="8"/>
  <c r="AA46" i="8"/>
  <c r="AA47" i="8" s="1" a="1"/>
  <c r="AA47" i="8" s="1"/>
  <c r="Z35" i="8"/>
  <c r="Z36" i="8"/>
  <c r="Z37" i="8" s="1" a="1"/>
  <c r="Z37" i="8" s="1"/>
  <c r="AA33" i="8"/>
  <c r="AA10" i="8"/>
  <c r="AA11" i="8"/>
  <c r="AA12" i="8" s="1" a="1"/>
  <c r="AA12" i="8" s="1"/>
  <c r="AB8" i="8"/>
  <c r="AF9" i="39" l="1"/>
  <c r="AF14" i="39" s="1"/>
  <c r="AF51" i="39" s="1"/>
  <c r="AE13" i="39"/>
  <c r="AE52" i="39" s="1"/>
  <c r="AC12" i="36" a="1"/>
  <c r="AC12" i="36" s="1"/>
  <c r="AC30" i="36" a="1"/>
  <c r="AC30" i="36" s="1"/>
  <c r="AF52" i="36"/>
  <c r="AF53" i="36"/>
  <c r="AF54" i="36" s="1" a="1"/>
  <c r="AF54" i="36" s="1"/>
  <c r="AG50" i="36"/>
  <c r="AD58" i="36"/>
  <c r="AD59" i="36"/>
  <c r="AD60" i="36" s="1" a="1"/>
  <c r="AD60" i="36" s="1"/>
  <c r="AE56" i="36"/>
  <c r="AD40" i="36"/>
  <c r="AE38" i="36"/>
  <c r="AD41" i="36"/>
  <c r="AD42" i="36" s="1" a="1"/>
  <c r="AD42" i="36" s="1"/>
  <c r="AD77" i="36"/>
  <c r="AD78" i="36" s="1" a="1"/>
  <c r="AD78" i="36" s="1"/>
  <c r="AE74" i="36"/>
  <c r="AD76" i="36"/>
  <c r="AD46" i="36"/>
  <c r="AE44" i="36"/>
  <c r="AD47" i="36"/>
  <c r="AD48" i="36" s="1" a="1"/>
  <c r="AD48" i="36" s="1"/>
  <c r="AD11" i="36"/>
  <c r="AE8" i="36"/>
  <c r="AD10" i="36"/>
  <c r="AE68" i="36"/>
  <c r="AD71" i="36"/>
  <c r="AD72" i="36" s="1" a="1"/>
  <c r="AD72" i="36" s="1"/>
  <c r="AD70" i="36"/>
  <c r="AF64" i="36"/>
  <c r="AG62" i="36"/>
  <c r="AF65" i="36"/>
  <c r="AF66" i="36" s="1" a="1"/>
  <c r="AF66" i="36" s="1"/>
  <c r="AE35" i="36"/>
  <c r="AE36" i="36" s="1" a="1"/>
  <c r="AE36" i="36" s="1"/>
  <c r="AE34" i="36"/>
  <c r="AF32" i="36"/>
  <c r="AD23" i="36"/>
  <c r="AD24" i="36" s="1" a="1"/>
  <c r="AD24" i="36" s="1"/>
  <c r="AD22" i="36"/>
  <c r="AE20" i="36"/>
  <c r="AE29" i="36"/>
  <c r="AE28" i="36"/>
  <c r="AF26" i="36"/>
  <c r="AD16" i="36"/>
  <c r="AD18" i="36" a="1"/>
  <c r="AD18" i="36" s="1"/>
  <c r="AD17" i="36"/>
  <c r="AE14" i="36"/>
  <c r="AD22" i="35" a="1"/>
  <c r="AD22" i="35" s="1"/>
  <c r="AD21" i="35"/>
  <c r="AD20" i="35"/>
  <c r="AE18" i="35"/>
  <c r="AD42" i="35" a="1"/>
  <c r="AD42" i="35" s="1"/>
  <c r="AD41" i="35"/>
  <c r="AE38" i="35"/>
  <c r="AD40" i="35"/>
  <c r="AE16" i="35"/>
  <c r="AE15" i="35"/>
  <c r="AF13" i="35"/>
  <c r="AE17" i="35" a="1"/>
  <c r="AE17" i="35" s="1"/>
  <c r="AD30" i="35"/>
  <c r="AE28" i="35"/>
  <c r="AD31" i="35"/>
  <c r="AD32" i="35" a="1"/>
  <c r="AD32" i="35" s="1"/>
  <c r="AD65" i="35"/>
  <c r="AE63" i="35"/>
  <c r="AD66" i="35"/>
  <c r="AD67" i="35" a="1"/>
  <c r="AD67" i="35" s="1"/>
  <c r="AE50" i="35"/>
  <c r="AE52" i="35" a="1"/>
  <c r="AE52" i="35" s="1"/>
  <c r="AF48" i="35"/>
  <c r="AE51" i="35"/>
  <c r="AE45" i="35"/>
  <c r="AE47" i="35" a="1"/>
  <c r="AE47" i="35" s="1"/>
  <c r="AF43" i="35"/>
  <c r="AE46" i="35"/>
  <c r="AD62" i="35" a="1"/>
  <c r="AD62" i="35" s="1"/>
  <c r="AD60" i="35"/>
  <c r="AE58" i="35"/>
  <c r="AD61" i="35"/>
  <c r="AE12" i="35" a="1"/>
  <c r="AE12" i="35" s="1"/>
  <c r="AE11" i="35"/>
  <c r="AE10" i="35"/>
  <c r="AF8" i="35"/>
  <c r="AE27" i="35" a="1"/>
  <c r="AE27" i="35" s="1"/>
  <c r="AF23" i="35"/>
  <c r="AE26" i="35"/>
  <c r="AE25" i="35"/>
  <c r="AE33" i="35"/>
  <c r="AD37" i="35" a="1"/>
  <c r="AD37" i="35" s="1"/>
  <c r="AD36" i="35"/>
  <c r="AD35" i="35"/>
  <c r="AD57" i="35" a="1"/>
  <c r="AD57" i="35" s="1"/>
  <c r="AE53" i="35"/>
  <c r="AD56" i="35"/>
  <c r="AD55" i="35"/>
  <c r="AB62" i="12"/>
  <c r="AA64" i="12"/>
  <c r="AA66" i="12" a="1"/>
  <c r="AA66" i="12" s="1"/>
  <c r="AA65" i="12"/>
  <c r="AC36" i="20" a="1"/>
  <c r="AC36" i="20" s="1"/>
  <c r="AC40" i="20" a="1"/>
  <c r="AC40" i="20" s="1"/>
  <c r="AC30" i="20" a="1"/>
  <c r="AC30" i="20" s="1"/>
  <c r="AC38" i="20" a="1"/>
  <c r="AC38" i="20" s="1"/>
  <c r="AC22" i="20" a="1"/>
  <c r="AC22" i="20" s="1"/>
  <c r="AC18" i="20" a="1"/>
  <c r="AC18" i="20" s="1"/>
  <c r="AC28" i="20" a="1"/>
  <c r="AC28" i="20" s="1"/>
  <c r="AC34" i="20" a="1"/>
  <c r="AC34" i="20" s="1"/>
  <c r="AC32" i="20" a="1"/>
  <c r="AC32" i="20" s="1"/>
  <c r="AC20" i="20" a="1"/>
  <c r="AC20" i="20" s="1"/>
  <c r="AC26" i="20" a="1"/>
  <c r="AC26" i="20" s="1"/>
  <c r="AC24" i="20" a="1"/>
  <c r="AC24" i="20" s="1"/>
  <c r="AC12" i="20" a="1"/>
  <c r="AC12" i="20" s="1"/>
  <c r="AC14" i="20" a="1"/>
  <c r="AC14" i="20" s="1"/>
  <c r="AC16" i="20" a="1"/>
  <c r="AC16" i="20" s="1"/>
  <c r="AD10" i="20"/>
  <c r="AD11" i="20"/>
  <c r="AE8" i="20"/>
  <c r="AD40" i="19" a="1"/>
  <c r="AD40" i="19" s="1"/>
  <c r="AD32" i="19" a="1"/>
  <c r="AD32" i="19" s="1"/>
  <c r="AD38" i="19" a="1"/>
  <c r="AD38" i="19" s="1"/>
  <c r="AD26" i="19" a="1"/>
  <c r="AD26" i="19" s="1"/>
  <c r="AD18" i="19" a="1"/>
  <c r="AD18" i="19" s="1"/>
  <c r="AD34" i="19" a="1"/>
  <c r="AD34" i="19" s="1"/>
  <c r="AD28" i="19" a="1"/>
  <c r="AD28" i="19" s="1"/>
  <c r="AD30" i="19" a="1"/>
  <c r="AD30" i="19" s="1"/>
  <c r="AD22" i="19" a="1"/>
  <c r="AD22" i="19" s="1"/>
  <c r="AD12" i="19" a="1"/>
  <c r="AD12" i="19" s="1"/>
  <c r="AE8" i="19"/>
  <c r="AD24" i="19" a="1"/>
  <c r="AD24" i="19" s="1"/>
  <c r="AD36" i="19" a="1"/>
  <c r="AD36" i="19" s="1"/>
  <c r="AD11" i="19"/>
  <c r="AD16" i="19" a="1"/>
  <c r="AD16" i="19" s="1"/>
  <c r="AD20" i="19" a="1"/>
  <c r="AD20" i="19" s="1"/>
  <c r="AD14" i="19" a="1"/>
  <c r="AD14" i="19" s="1"/>
  <c r="AD10" i="19"/>
  <c r="AA10" i="12"/>
  <c r="AA12" i="12" a="1"/>
  <c r="AA12" i="12" s="1"/>
  <c r="AA11" i="12"/>
  <c r="AB8" i="12"/>
  <c r="AB53" i="12"/>
  <c r="AB52" i="12"/>
  <c r="AC50" i="12"/>
  <c r="AB54" i="12" a="1"/>
  <c r="AB54" i="12" s="1"/>
  <c r="AB48" i="12" a="1"/>
  <c r="AB48" i="12" s="1"/>
  <c r="AB47" i="12"/>
  <c r="AB46" i="12"/>
  <c r="AC44" i="12"/>
  <c r="AB36" i="12" a="1"/>
  <c r="AB36" i="12" s="1"/>
  <c r="AB35" i="12"/>
  <c r="AB34" i="12"/>
  <c r="AC32" i="12"/>
  <c r="AB42" i="12" a="1"/>
  <c r="AB42" i="12" s="1"/>
  <c r="AB41" i="12"/>
  <c r="AB40" i="12"/>
  <c r="AC38" i="12"/>
  <c r="AB77" i="12"/>
  <c r="AB76" i="12"/>
  <c r="AC74" i="12"/>
  <c r="AB78" i="12" a="1"/>
  <c r="AB78" i="12" s="1"/>
  <c r="AC18" i="12" a="1"/>
  <c r="AC18" i="12" s="1"/>
  <c r="AD14" i="12"/>
  <c r="AC17" i="12"/>
  <c r="AC16" i="12"/>
  <c r="AB60" i="12" a="1"/>
  <c r="AB60" i="12" s="1"/>
  <c r="AB59" i="12"/>
  <c r="AB58" i="12"/>
  <c r="AC56" i="12"/>
  <c r="AB23" i="12"/>
  <c r="AB22" i="12"/>
  <c r="AC20" i="12"/>
  <c r="AB24" i="12" a="1"/>
  <c r="AB24" i="12" s="1"/>
  <c r="AB30" i="12" a="1"/>
  <c r="AB30" i="12" s="1"/>
  <c r="AB29" i="12"/>
  <c r="AB28" i="12"/>
  <c r="AC26" i="12"/>
  <c r="AB71" i="12"/>
  <c r="AB70" i="12"/>
  <c r="AC68" i="12"/>
  <c r="AB72" i="12" a="1"/>
  <c r="AB72" i="12" s="1"/>
  <c r="AA40" i="8"/>
  <c r="AA41" i="8"/>
  <c r="AA42" i="8" s="1" a="1"/>
  <c r="AA42" i="8" s="1"/>
  <c r="AB38" i="8"/>
  <c r="AB25" i="8"/>
  <c r="AC23" i="8"/>
  <c r="AB26" i="8"/>
  <c r="AB27" i="8" s="1" a="1"/>
  <c r="AB27" i="8" s="1"/>
  <c r="AC21" i="8"/>
  <c r="AC22" i="8" s="1" a="1"/>
  <c r="AC22" i="8" s="1"/>
  <c r="AC20" i="8"/>
  <c r="AD18" i="8"/>
  <c r="AA16" i="8"/>
  <c r="AA17" i="8" s="1" a="1"/>
  <c r="AA17" i="8" s="1"/>
  <c r="AB13" i="8"/>
  <c r="AA15" i="8"/>
  <c r="AB55" i="8"/>
  <c r="AB56" i="8"/>
  <c r="AB57" i="8" s="1" a="1"/>
  <c r="AB57" i="8" s="1"/>
  <c r="AC53" i="8"/>
  <c r="AB31" i="8"/>
  <c r="AB32" i="8" s="1" a="1"/>
  <c r="AB32" i="8" s="1"/>
  <c r="AC28" i="8"/>
  <c r="AB30" i="8"/>
  <c r="AA36" i="8"/>
  <c r="AA37" i="8" s="1" a="1"/>
  <c r="AA37" i="8" s="1"/>
  <c r="AB33" i="8"/>
  <c r="AA35" i="8"/>
  <c r="AB50" i="8"/>
  <c r="AC48" i="8"/>
  <c r="AB51" i="8"/>
  <c r="AB52" i="8" s="1" a="1"/>
  <c r="AB52" i="8" s="1"/>
  <c r="AC58" i="8"/>
  <c r="AB61" i="8"/>
  <c r="AB62" i="8" s="1" a="1"/>
  <c r="AB62" i="8" s="1"/>
  <c r="AB60" i="8"/>
  <c r="AB11" i="8"/>
  <c r="AB12" i="8" s="1" a="1"/>
  <c r="AB12" i="8" s="1"/>
  <c r="AB10" i="8"/>
  <c r="AC8" i="8"/>
  <c r="AB46" i="8"/>
  <c r="AB47" i="8" s="1" a="1"/>
  <c r="AB47" i="8" s="1"/>
  <c r="AC43" i="8"/>
  <c r="AB45" i="8"/>
  <c r="AC63" i="8"/>
  <c r="AB65" i="8"/>
  <c r="AB66" i="8"/>
  <c r="AB67" i="8" s="1" a="1"/>
  <c r="AB67" i="8" s="1"/>
  <c r="AG9" i="39" l="1"/>
  <c r="AG14" i="39" s="1"/>
  <c r="AG51" i="39" s="1"/>
  <c r="AF13" i="39"/>
  <c r="AF52" i="39" s="1"/>
  <c r="AD12" i="36" a="1"/>
  <c r="AD12" i="36" s="1"/>
  <c r="AD30" i="36" a="1"/>
  <c r="AD30" i="36" s="1"/>
  <c r="AE17" i="36"/>
  <c r="AF14" i="36"/>
  <c r="AE18" i="36" a="1"/>
  <c r="AE18" i="36" s="1"/>
  <c r="AE16" i="36"/>
  <c r="AF28" i="36"/>
  <c r="AG26" i="36"/>
  <c r="AF29" i="36"/>
  <c r="AE22" i="36"/>
  <c r="AF20" i="36"/>
  <c r="AE23" i="36"/>
  <c r="AE24" i="36" s="1" a="1"/>
  <c r="AE24" i="36" s="1"/>
  <c r="AF34" i="36"/>
  <c r="AG32" i="36"/>
  <c r="AF35" i="36"/>
  <c r="AF36" i="36" s="1" a="1"/>
  <c r="AF36" i="36" s="1"/>
  <c r="AG64" i="36"/>
  <c r="AG65" i="36"/>
  <c r="AG66" i="36" s="1" a="1"/>
  <c r="AG66" i="36" s="1"/>
  <c r="AE46" i="36"/>
  <c r="AF44" i="36"/>
  <c r="AE47" i="36"/>
  <c r="AE48" i="36" s="1" a="1"/>
  <c r="AE48" i="36" s="1"/>
  <c r="AE77" i="36"/>
  <c r="AE78" i="36" s="1" a="1"/>
  <c r="AE78" i="36" s="1"/>
  <c r="AE76" i="36"/>
  <c r="AF74" i="36"/>
  <c r="AE40" i="36"/>
  <c r="AF38" i="36"/>
  <c r="AE41" i="36"/>
  <c r="AE42" i="36" s="1" a="1"/>
  <c r="AE42" i="36" s="1"/>
  <c r="AE58" i="36"/>
  <c r="AF56" i="36"/>
  <c r="AE59" i="36"/>
  <c r="AE60" i="36" s="1" a="1"/>
  <c r="AE60" i="36" s="1"/>
  <c r="AG52" i="36"/>
  <c r="AG53" i="36"/>
  <c r="AG54" i="36" s="1" a="1"/>
  <c r="AG54" i="36" s="1"/>
  <c r="AE10" i="36"/>
  <c r="AE11" i="36"/>
  <c r="AF8" i="36"/>
  <c r="AE71" i="36"/>
  <c r="AE72" i="36" s="1" a="1"/>
  <c r="AE72" i="36" s="1"/>
  <c r="AF68" i="36"/>
  <c r="AE70" i="36"/>
  <c r="AE20" i="35"/>
  <c r="AF18" i="35"/>
  <c r="AE21" i="35"/>
  <c r="AE22" i="35" a="1"/>
  <c r="AE22" i="35" s="1"/>
  <c r="AE40" i="35"/>
  <c r="AE42" i="35" a="1"/>
  <c r="AE42" i="35" s="1"/>
  <c r="AE41" i="35"/>
  <c r="AF38" i="35"/>
  <c r="AF12" i="35" a="1"/>
  <c r="AF12" i="35" s="1"/>
  <c r="AF11" i="35"/>
  <c r="AF10" i="35"/>
  <c r="AG8" i="35"/>
  <c r="AE57" i="35" a="1"/>
  <c r="AE57" i="35" s="1"/>
  <c r="AF53" i="35"/>
  <c r="AE56" i="35"/>
  <c r="AE55" i="35"/>
  <c r="AE37" i="35" a="1"/>
  <c r="AE37" i="35" s="1"/>
  <c r="AF33" i="35"/>
  <c r="AE36" i="35"/>
  <c r="AE35" i="35"/>
  <c r="AE61" i="35"/>
  <c r="AE60" i="35"/>
  <c r="AE62" i="35" a="1"/>
  <c r="AE62" i="35" s="1"/>
  <c r="AF58" i="35"/>
  <c r="AF47" i="35" a="1"/>
  <c r="AF47" i="35" s="1"/>
  <c r="AG43" i="35"/>
  <c r="AF46" i="35"/>
  <c r="AF45" i="35"/>
  <c r="AF52" i="35" a="1"/>
  <c r="AF52" i="35" s="1"/>
  <c r="AG48" i="35"/>
  <c r="AF51" i="35"/>
  <c r="AF50" i="35"/>
  <c r="AF15" i="35"/>
  <c r="AG13" i="35"/>
  <c r="AF17" i="35" a="1"/>
  <c r="AF17" i="35" s="1"/>
  <c r="AF16" i="35"/>
  <c r="AG23" i="35"/>
  <c r="AF26" i="35"/>
  <c r="AF27" i="35" a="1"/>
  <c r="AF27" i="35" s="1"/>
  <c r="AF25" i="35"/>
  <c r="AE67" i="35" a="1"/>
  <c r="AE67" i="35" s="1"/>
  <c r="AF63" i="35"/>
  <c r="AE66" i="35"/>
  <c r="AE65" i="35"/>
  <c r="AE32" i="35" a="1"/>
  <c r="AE32" i="35" s="1"/>
  <c r="AE31" i="35"/>
  <c r="AF28" i="35"/>
  <c r="AE30" i="35"/>
  <c r="AC62" i="12"/>
  <c r="AB66" i="12" a="1"/>
  <c r="AB66" i="12" s="1"/>
  <c r="AB65" i="12"/>
  <c r="AB64" i="12"/>
  <c r="AD38" i="20" a="1"/>
  <c r="AD38" i="20" s="1"/>
  <c r="AD34" i="20" a="1"/>
  <c r="AD34" i="20" s="1"/>
  <c r="AD32" i="20" a="1"/>
  <c r="AD32" i="20" s="1"/>
  <c r="AD28" i="20" a="1"/>
  <c r="AD28" i="20" s="1"/>
  <c r="AD36" i="20" a="1"/>
  <c r="AD36" i="20" s="1"/>
  <c r="AD26" i="20" a="1"/>
  <c r="AD26" i="20" s="1"/>
  <c r="AD20" i="20" a="1"/>
  <c r="AD20" i="20" s="1"/>
  <c r="AD40" i="20" a="1"/>
  <c r="AD40" i="20" s="1"/>
  <c r="AD24" i="20" a="1"/>
  <c r="AD24" i="20" s="1"/>
  <c r="AD30" i="20" a="1"/>
  <c r="AD30" i="20" s="1"/>
  <c r="AD22" i="20" a="1"/>
  <c r="AD22" i="20" s="1"/>
  <c r="AD18" i="20" a="1"/>
  <c r="AD18" i="20" s="1"/>
  <c r="AD16" i="20" a="1"/>
  <c r="AD16" i="20" s="1"/>
  <c r="AD14" i="20" a="1"/>
  <c r="AD14" i="20" s="1"/>
  <c r="AD12" i="20" a="1"/>
  <c r="AD12" i="20" s="1"/>
  <c r="AE11" i="20"/>
  <c r="AF8" i="20"/>
  <c r="AE10" i="20"/>
  <c r="AE36" i="19" a="1"/>
  <c r="AE36" i="19" s="1"/>
  <c r="AE40" i="19" a="1"/>
  <c r="AE40" i="19" s="1"/>
  <c r="AE34" i="19" a="1"/>
  <c r="AE34" i="19" s="1"/>
  <c r="AE22" i="19" a="1"/>
  <c r="AE22" i="19" s="1"/>
  <c r="AE30" i="19" a="1"/>
  <c r="AE30" i="19" s="1"/>
  <c r="AE38" i="19" a="1"/>
  <c r="AE38" i="19" s="1"/>
  <c r="AE24" i="19" a="1"/>
  <c r="AE24" i="19" s="1"/>
  <c r="AE14" i="19" a="1"/>
  <c r="AE14" i="19" s="1"/>
  <c r="AE18" i="19" a="1"/>
  <c r="AE18" i="19" s="1"/>
  <c r="AE16" i="19" a="1"/>
  <c r="AE16" i="19" s="1"/>
  <c r="AE10" i="19"/>
  <c r="AE32" i="19" a="1"/>
  <c r="AE32" i="19" s="1"/>
  <c r="AE28" i="19" a="1"/>
  <c r="AE28" i="19" s="1"/>
  <c r="AE26" i="19" a="1"/>
  <c r="AE26" i="19" s="1"/>
  <c r="AE20" i="19" a="1"/>
  <c r="AE20" i="19" s="1"/>
  <c r="AF8" i="19"/>
  <c r="AE12" i="19" a="1"/>
  <c r="AE12" i="19" s="1"/>
  <c r="AE11" i="19"/>
  <c r="AB11" i="12"/>
  <c r="AB10" i="12"/>
  <c r="AC8" i="12"/>
  <c r="AB12" i="12" a="1"/>
  <c r="AB12" i="12" s="1"/>
  <c r="AC30" i="12" a="1"/>
  <c r="AC30" i="12" s="1"/>
  <c r="AC29" i="12"/>
  <c r="AC28" i="12"/>
  <c r="AD26" i="12"/>
  <c r="AC42" i="12" a="1"/>
  <c r="AC42" i="12" s="1"/>
  <c r="AC41" i="12"/>
  <c r="AC40" i="12"/>
  <c r="AD38" i="12"/>
  <c r="AC36" i="12" a="1"/>
  <c r="AC36" i="12" s="1"/>
  <c r="AC35" i="12"/>
  <c r="AC34" i="12"/>
  <c r="AD32" i="12"/>
  <c r="AC72" i="12" a="1"/>
  <c r="AC72" i="12" s="1"/>
  <c r="AC71" i="12"/>
  <c r="AC70" i="12"/>
  <c r="AD68" i="12"/>
  <c r="AC24" i="12" a="1"/>
  <c r="AC24" i="12" s="1"/>
  <c r="AC23" i="12"/>
  <c r="AC22" i="12"/>
  <c r="AD20" i="12"/>
  <c r="AC78" i="12" a="1"/>
  <c r="AC78" i="12" s="1"/>
  <c r="AC77" i="12"/>
  <c r="AC76" i="12"/>
  <c r="AD74" i="12"/>
  <c r="AC54" i="12" a="1"/>
  <c r="AC54" i="12" s="1"/>
  <c r="AC52" i="12"/>
  <c r="AD50" i="12"/>
  <c r="AC53" i="12"/>
  <c r="AC59" i="12"/>
  <c r="AC58" i="12"/>
  <c r="AD56" i="12"/>
  <c r="AC60" i="12" a="1"/>
  <c r="AC60" i="12" s="1"/>
  <c r="AC48" i="12" a="1"/>
  <c r="AC48" i="12" s="1"/>
  <c r="AC47" i="12"/>
  <c r="AC46" i="12"/>
  <c r="AD44" i="12"/>
  <c r="AD18" i="12" a="1"/>
  <c r="AD18" i="12" s="1"/>
  <c r="AD17" i="12"/>
  <c r="AD16" i="12"/>
  <c r="AE14" i="12"/>
  <c r="AB40" i="8"/>
  <c r="AB41" i="8"/>
  <c r="AB42" i="8" s="1" a="1"/>
  <c r="AB42" i="8" s="1"/>
  <c r="AC38" i="8"/>
  <c r="AC33" i="8"/>
  <c r="AB35" i="8"/>
  <c r="AB36" i="8"/>
  <c r="AB37" i="8" s="1" a="1"/>
  <c r="AB37" i="8" s="1"/>
  <c r="AC56" i="8"/>
  <c r="AC57" i="8" s="1" a="1"/>
  <c r="AC57" i="8" s="1"/>
  <c r="AC55" i="8"/>
  <c r="AD53" i="8"/>
  <c r="AC13" i="8"/>
  <c r="AB15" i="8"/>
  <c r="AB16" i="8"/>
  <c r="AB17" i="8" s="1" a="1"/>
  <c r="AB17" i="8" s="1"/>
  <c r="AC45" i="8"/>
  <c r="AC46" i="8"/>
  <c r="AC47" i="8" s="1" a="1"/>
  <c r="AC47" i="8" s="1"/>
  <c r="AD43" i="8"/>
  <c r="AC51" i="8"/>
  <c r="AC52" i="8" s="1" a="1"/>
  <c r="AC52" i="8" s="1"/>
  <c r="AD48" i="8"/>
  <c r="AC50" i="8"/>
  <c r="AD63" i="8"/>
  <c r="AC65" i="8"/>
  <c r="AC66" i="8"/>
  <c r="AC67" i="8" s="1" a="1"/>
  <c r="AC67" i="8" s="1"/>
  <c r="AD8" i="8"/>
  <c r="AC11" i="8"/>
  <c r="AC12" i="8" s="1" a="1"/>
  <c r="AC12" i="8" s="1"/>
  <c r="AC10" i="8"/>
  <c r="AD28" i="8"/>
  <c r="AC30" i="8"/>
  <c r="AC31" i="8"/>
  <c r="AC32" i="8" s="1" a="1"/>
  <c r="AC32" i="8" s="1"/>
  <c r="AE18" i="8"/>
  <c r="AD21" i="8"/>
  <c r="AD22" i="8" s="1" a="1"/>
  <c r="AD22" i="8" s="1"/>
  <c r="AD20" i="8"/>
  <c r="AC26" i="8"/>
  <c r="AC27" i="8" s="1" a="1"/>
  <c r="AC27" i="8" s="1"/>
  <c r="AD23" i="8"/>
  <c r="AC25" i="8"/>
  <c r="AD58" i="8"/>
  <c r="AC60" i="8"/>
  <c r="AC61" i="8"/>
  <c r="AC62" i="8" s="1" a="1"/>
  <c r="AC62" i="8" s="1"/>
  <c r="AH9" i="39" l="1"/>
  <c r="AG13" i="39"/>
  <c r="AE12" i="36" a="1"/>
  <c r="AE12" i="36" s="1"/>
  <c r="AE30" i="36" a="1"/>
  <c r="AE30" i="36" s="1"/>
  <c r="B54" i="36"/>
  <c r="AH54" i="36"/>
  <c r="B53" i="36"/>
  <c r="AH51" i="36"/>
  <c r="AH50" i="36"/>
  <c r="AH52" i="36"/>
  <c r="AH53" i="36"/>
  <c r="B52" i="36"/>
  <c r="AF76" i="36"/>
  <c r="AG74" i="36"/>
  <c r="AF77" i="36"/>
  <c r="AF78" i="36" s="1" a="1"/>
  <c r="AF78" i="36" s="1"/>
  <c r="AG34" i="36"/>
  <c r="AG35" i="36"/>
  <c r="AG36" i="36" s="1" a="1"/>
  <c r="AG36" i="36" s="1"/>
  <c r="AF22" i="36"/>
  <c r="AG20" i="36"/>
  <c r="AF23" i="36"/>
  <c r="AF24" i="36" s="1" a="1"/>
  <c r="AF24" i="36" s="1"/>
  <c r="AG28" i="36"/>
  <c r="AG29" i="36"/>
  <c r="AF70" i="36"/>
  <c r="AF71" i="36"/>
  <c r="AF72" i="36" s="1" a="1"/>
  <c r="AF72" i="36" s="1"/>
  <c r="AG68" i="36"/>
  <c r="AF11" i="36"/>
  <c r="AG8" i="36"/>
  <c r="AF10" i="36"/>
  <c r="AG56" i="36"/>
  <c r="AF59" i="36"/>
  <c r="AF60" i="36" s="1" a="1"/>
  <c r="AF60" i="36" s="1"/>
  <c r="AF58" i="36"/>
  <c r="AG38" i="36"/>
  <c r="AF41" i="36"/>
  <c r="AF42" i="36" s="1" a="1"/>
  <c r="AF42" i="36" s="1"/>
  <c r="AF40" i="36"/>
  <c r="AF18" i="36" a="1"/>
  <c r="AF18" i="36" s="1"/>
  <c r="AF17" i="36"/>
  <c r="AG14" i="36"/>
  <c r="AF16" i="36"/>
  <c r="AG44" i="36"/>
  <c r="AF46" i="36"/>
  <c r="AF47" i="36"/>
  <c r="AF48" i="36" s="1" a="1"/>
  <c r="AF48" i="36" s="1"/>
  <c r="AH65" i="36"/>
  <c r="AH66" i="36"/>
  <c r="AH64" i="36"/>
  <c r="B64" i="36"/>
  <c r="AH62" i="36"/>
  <c r="AH63" i="36"/>
  <c r="B65" i="36"/>
  <c r="B66" i="36"/>
  <c r="AG18" i="35"/>
  <c r="AF20" i="35"/>
  <c r="AF21" i="35"/>
  <c r="AF22" i="35" a="1"/>
  <c r="AF22" i="35" s="1"/>
  <c r="AF40" i="35"/>
  <c r="AF42" i="35" a="1"/>
  <c r="AF42" i="35" s="1"/>
  <c r="AG38" i="35"/>
  <c r="AF41" i="35"/>
  <c r="AG63" i="35"/>
  <c r="AF66" i="35"/>
  <c r="AF67" i="35" a="1"/>
  <c r="AF67" i="35" s="1"/>
  <c r="AF65" i="35"/>
  <c r="AG26" i="35"/>
  <c r="AG27" i="35" a="1"/>
  <c r="AG27" i="35" s="1"/>
  <c r="AG25" i="35"/>
  <c r="AF62" i="35" a="1"/>
  <c r="AF62" i="35" s="1"/>
  <c r="AG58" i="35"/>
  <c r="AF60" i="35"/>
  <c r="AF61" i="35"/>
  <c r="AG12" i="35" a="1"/>
  <c r="AG12" i="35" s="1"/>
  <c r="AG11" i="35"/>
  <c r="AG10" i="35"/>
  <c r="AF31" i="35"/>
  <c r="AF30" i="35"/>
  <c r="AF32" i="35" a="1"/>
  <c r="AF32" i="35" s="1"/>
  <c r="AG28" i="35"/>
  <c r="AG17" i="35" a="1"/>
  <c r="AG17" i="35" s="1"/>
  <c r="AG16" i="35"/>
  <c r="AG15" i="35"/>
  <c r="AG51" i="35"/>
  <c r="AG52" i="35" a="1"/>
  <c r="AG52" i="35" s="1"/>
  <c r="AG50" i="35"/>
  <c r="AG46" i="35"/>
  <c r="AG45" i="35"/>
  <c r="AG47" i="35" a="1"/>
  <c r="AG47" i="35" s="1"/>
  <c r="AF36" i="35"/>
  <c r="AF35" i="35"/>
  <c r="AF37" i="35" a="1"/>
  <c r="AF37" i="35" s="1"/>
  <c r="AG33" i="35"/>
  <c r="AF57" i="35" a="1"/>
  <c r="AF57" i="35" s="1"/>
  <c r="AF56" i="35"/>
  <c r="AF55" i="35"/>
  <c r="AG53" i="35"/>
  <c r="AD62" i="12"/>
  <c r="AC66" i="12" a="1"/>
  <c r="AC66" i="12" s="1"/>
  <c r="AC64" i="12"/>
  <c r="AC65" i="12"/>
  <c r="AE40" i="20" a="1"/>
  <c r="AE40" i="20" s="1"/>
  <c r="AE30" i="20" a="1"/>
  <c r="AE30" i="20" s="1"/>
  <c r="AE38" i="20" a="1"/>
  <c r="AE38" i="20" s="1"/>
  <c r="AE32" i="20" a="1"/>
  <c r="AE32" i="20" s="1"/>
  <c r="AE28" i="20" a="1"/>
  <c r="AE28" i="20" s="1"/>
  <c r="AE36" i="20" a="1"/>
  <c r="AE36" i="20" s="1"/>
  <c r="AE26" i="20" a="1"/>
  <c r="AE26" i="20" s="1"/>
  <c r="AE20" i="20" a="1"/>
  <c r="AE20" i="20" s="1"/>
  <c r="AE24" i="20" a="1"/>
  <c r="AE24" i="20" s="1"/>
  <c r="AE34" i="20" a="1"/>
  <c r="AE34" i="20" s="1"/>
  <c r="AE22" i="20" a="1"/>
  <c r="AE22" i="20" s="1"/>
  <c r="AE18" i="20" a="1"/>
  <c r="AE18" i="20" s="1"/>
  <c r="AE14" i="20" a="1"/>
  <c r="AE14" i="20" s="1"/>
  <c r="AE16" i="20" a="1"/>
  <c r="AE16" i="20" s="1"/>
  <c r="AE12" i="20" a="1"/>
  <c r="AE12" i="20" s="1"/>
  <c r="AF10" i="20"/>
  <c r="AF11" i="20"/>
  <c r="AG8" i="20"/>
  <c r="AF40" i="19" a="1"/>
  <c r="AF40" i="19" s="1"/>
  <c r="AF32" i="19" a="1"/>
  <c r="AF32" i="19" s="1"/>
  <c r="AF36" i="19" a="1"/>
  <c r="AF36" i="19" s="1"/>
  <c r="AF30" i="19" a="1"/>
  <c r="AF30" i="19" s="1"/>
  <c r="AF26" i="19" a="1"/>
  <c r="AF26" i="19" s="1"/>
  <c r="AF18" i="19" a="1"/>
  <c r="AF18" i="19" s="1"/>
  <c r="AF38" i="19" a="1"/>
  <c r="AF38" i="19" s="1"/>
  <c r="AF28" i="19" a="1"/>
  <c r="AF28" i="19" s="1"/>
  <c r="AF34" i="19" a="1"/>
  <c r="AF34" i="19" s="1"/>
  <c r="AF20" i="19" a="1"/>
  <c r="AF20" i="19" s="1"/>
  <c r="AF12" i="19" a="1"/>
  <c r="AF12" i="19" s="1"/>
  <c r="AF11" i="19"/>
  <c r="AF22" i="19" a="1"/>
  <c r="AF22" i="19" s="1"/>
  <c r="AF24" i="19" a="1"/>
  <c r="AF24" i="19" s="1"/>
  <c r="AF10" i="19"/>
  <c r="AF14" i="19" a="1"/>
  <c r="AF14" i="19" s="1"/>
  <c r="AF16" i="19" a="1"/>
  <c r="AF16" i="19" s="1"/>
  <c r="AG8" i="19"/>
  <c r="AC12" i="12" a="1"/>
  <c r="AC12" i="12" s="1"/>
  <c r="AC11" i="12"/>
  <c r="AC10" i="12"/>
  <c r="AD8" i="12"/>
  <c r="AD77" i="12"/>
  <c r="AD76" i="12"/>
  <c r="AE74" i="12"/>
  <c r="AD78" i="12" a="1"/>
  <c r="AD78" i="12" s="1"/>
  <c r="AD24" i="12" a="1"/>
  <c r="AD24" i="12" s="1"/>
  <c r="AD23" i="12"/>
  <c r="AD22" i="12"/>
  <c r="AE20" i="12"/>
  <c r="AD71" i="12"/>
  <c r="AD70" i="12"/>
  <c r="AE68" i="12"/>
  <c r="AD72" i="12" a="1"/>
  <c r="AD72" i="12" s="1"/>
  <c r="AD36" i="12" a="1"/>
  <c r="AD36" i="12" s="1"/>
  <c r="AD35" i="12"/>
  <c r="AD34" i="12"/>
  <c r="AE32" i="12"/>
  <c r="AD42" i="12" a="1"/>
  <c r="AD42" i="12" s="1"/>
  <c r="AD41" i="12"/>
  <c r="AD40" i="12"/>
  <c r="AE38" i="12"/>
  <c r="AD30" i="12" a="1"/>
  <c r="AD30" i="12" s="1"/>
  <c r="AD29" i="12"/>
  <c r="AD28" i="12"/>
  <c r="AE26" i="12"/>
  <c r="AD52" i="12"/>
  <c r="AE50" i="12"/>
  <c r="AD54" i="12" a="1"/>
  <c r="AD54" i="12" s="1"/>
  <c r="AD53" i="12"/>
  <c r="AE18" i="12" a="1"/>
  <c r="AE18" i="12" s="1"/>
  <c r="AE17" i="12"/>
  <c r="AE16" i="12"/>
  <c r="AF14" i="12"/>
  <c r="AD48" i="12" a="1"/>
  <c r="AD48" i="12" s="1"/>
  <c r="AD47" i="12"/>
  <c r="AD46" i="12"/>
  <c r="AE44" i="12"/>
  <c r="AD60" i="12" a="1"/>
  <c r="AD60" i="12" s="1"/>
  <c r="AD59" i="12"/>
  <c r="AD58" i="12"/>
  <c r="AE56" i="12"/>
  <c r="AC41" i="8"/>
  <c r="AC42" i="8" s="1" a="1"/>
  <c r="AC42" i="8" s="1"/>
  <c r="AC40" i="8"/>
  <c r="AD38" i="8"/>
  <c r="AD25" i="8"/>
  <c r="AD26" i="8"/>
  <c r="AD27" i="8" s="1" a="1"/>
  <c r="AD27" i="8" s="1"/>
  <c r="AE23" i="8"/>
  <c r="AE21" i="8"/>
  <c r="AE22" i="8" s="1" a="1"/>
  <c r="AE22" i="8" s="1"/>
  <c r="AF18" i="8"/>
  <c r="AE20" i="8"/>
  <c r="AD65" i="8"/>
  <c r="AD66" i="8"/>
  <c r="AD67" i="8" s="1" a="1"/>
  <c r="AD67" i="8" s="1"/>
  <c r="AE63" i="8"/>
  <c r="AD46" i="8"/>
  <c r="AD47" i="8" s="1" a="1"/>
  <c r="AD47" i="8" s="1"/>
  <c r="AD45" i="8"/>
  <c r="AE43" i="8"/>
  <c r="AD60" i="8"/>
  <c r="AD61" i="8"/>
  <c r="AD62" i="8" s="1" a="1"/>
  <c r="AD62" i="8" s="1"/>
  <c r="AE58" i="8"/>
  <c r="AE8" i="8"/>
  <c r="AD10" i="8"/>
  <c r="AD11" i="8"/>
  <c r="AD12" i="8" s="1" a="1"/>
  <c r="AD12" i="8" s="1"/>
  <c r="AD13" i="8"/>
  <c r="AC15" i="8"/>
  <c r="AC16" i="8"/>
  <c r="AC17" i="8" s="1" a="1"/>
  <c r="AC17" i="8" s="1"/>
  <c r="AE28" i="8"/>
  <c r="AD30" i="8"/>
  <c r="AD31" i="8"/>
  <c r="AD32" i="8" s="1" a="1"/>
  <c r="AD32" i="8" s="1"/>
  <c r="AD51" i="8"/>
  <c r="AD52" i="8" s="1" a="1"/>
  <c r="AD52" i="8" s="1"/>
  <c r="AD50" i="8"/>
  <c r="AE48" i="8"/>
  <c r="AE53" i="8"/>
  <c r="AD56" i="8"/>
  <c r="AD57" i="8" s="1" a="1"/>
  <c r="AD57" i="8" s="1"/>
  <c r="AD55" i="8"/>
  <c r="AD33" i="8"/>
  <c r="AC35" i="8"/>
  <c r="AC36" i="8"/>
  <c r="AC37" i="8" s="1" a="1"/>
  <c r="AC37" i="8" s="1"/>
  <c r="AG52" i="39" l="1"/>
  <c r="AH13" i="39"/>
  <c r="AI9" i="39"/>
  <c r="AF12" i="36" a="1"/>
  <c r="AF12" i="36" s="1"/>
  <c r="AF30" i="36" a="1"/>
  <c r="AF30" i="36" s="1"/>
  <c r="AG47" i="36"/>
  <c r="AG48" i="36" s="1" a="1"/>
  <c r="AG48" i="36" s="1"/>
  <c r="AG46" i="36"/>
  <c r="AG59" i="36"/>
  <c r="AG60" i="36" s="1" a="1"/>
  <c r="AG60" i="36" s="1"/>
  <c r="AG58" i="36"/>
  <c r="AG76" i="36"/>
  <c r="AG77" i="36"/>
  <c r="AG78" i="36" s="1" a="1"/>
  <c r="AG78" i="36" s="1"/>
  <c r="AG70" i="36"/>
  <c r="AG71" i="36"/>
  <c r="AG72" i="36" s="1" a="1"/>
  <c r="AG72" i="36" s="1"/>
  <c r="AH35" i="36"/>
  <c r="B35" i="36"/>
  <c r="AH34" i="36"/>
  <c r="B36" i="36"/>
  <c r="AH33" i="36"/>
  <c r="AH32" i="36"/>
  <c r="AH36" i="36"/>
  <c r="B34" i="36"/>
  <c r="AG41" i="36"/>
  <c r="AG42" i="36" s="1" a="1"/>
  <c r="AG42" i="36" s="1"/>
  <c r="AG40" i="36"/>
  <c r="AG11" i="36"/>
  <c r="AG10" i="36"/>
  <c r="AG17" i="36"/>
  <c r="AG16" i="36"/>
  <c r="AG18" i="36" a="1"/>
  <c r="AG18" i="36" s="1"/>
  <c r="AG23" i="36"/>
  <c r="AG24" i="36" s="1" a="1"/>
  <c r="AG24" i="36" s="1"/>
  <c r="AG22" i="36"/>
  <c r="B17" i="35"/>
  <c r="B15" i="35"/>
  <c r="B16" i="35"/>
  <c r="AH48" i="35"/>
  <c r="B51" i="35"/>
  <c r="B50" i="35"/>
  <c r="AH51" i="35"/>
  <c r="B52" i="35"/>
  <c r="AH49" i="35"/>
  <c r="AH50" i="35"/>
  <c r="AH52" i="35"/>
  <c r="B27" i="35"/>
  <c r="AH24" i="35"/>
  <c r="AH25" i="35"/>
  <c r="B25" i="35"/>
  <c r="AH23" i="35"/>
  <c r="AH27" i="35"/>
  <c r="AH26" i="35"/>
  <c r="B26" i="35"/>
  <c r="B47" i="35"/>
  <c r="AH45" i="35"/>
  <c r="B46" i="35"/>
  <c r="AH46" i="35"/>
  <c r="AH47" i="35"/>
  <c r="B45" i="35"/>
  <c r="AH44" i="35"/>
  <c r="AH43" i="35"/>
  <c r="AH14" i="35"/>
  <c r="AH16" i="35"/>
  <c r="AH17" i="35"/>
  <c r="AH13" i="35"/>
  <c r="AH15" i="35"/>
  <c r="AH10" i="35"/>
  <c r="AH12" i="35"/>
  <c r="B10" i="35"/>
  <c r="AH8" i="35"/>
  <c r="B12" i="35"/>
  <c r="B11" i="35"/>
  <c r="AH11" i="35"/>
  <c r="AH9" i="35"/>
  <c r="AG22" i="35" a="1"/>
  <c r="AG22" i="35" s="1"/>
  <c r="AG21" i="35"/>
  <c r="AG20" i="35"/>
  <c r="AG42" i="35" a="1"/>
  <c r="AG42" i="35" s="1"/>
  <c r="AG40" i="35"/>
  <c r="AG41" i="35"/>
  <c r="AG31" i="35"/>
  <c r="AG32" i="35" a="1"/>
  <c r="AG32" i="35" s="1"/>
  <c r="AG30" i="35"/>
  <c r="AG55" i="35"/>
  <c r="AG57" i="35" a="1"/>
  <c r="AG57" i="35" s="1"/>
  <c r="AG56" i="35"/>
  <c r="AG37" i="35" a="1"/>
  <c r="AG37" i="35" s="1"/>
  <c r="AG35" i="35"/>
  <c r="AG36" i="35"/>
  <c r="AG61" i="35"/>
  <c r="AG60" i="35"/>
  <c r="AG62" i="35" a="1"/>
  <c r="AG62" i="35" s="1"/>
  <c r="AG66" i="35"/>
  <c r="AG67" i="35" a="1"/>
  <c r="AG67" i="35" s="1"/>
  <c r="AG65" i="35"/>
  <c r="AE62" i="12"/>
  <c r="AD66" i="12" a="1"/>
  <c r="AD66" i="12" s="1"/>
  <c r="AD65" i="12"/>
  <c r="AD64" i="12"/>
  <c r="AF32" i="20" a="1"/>
  <c r="AF32" i="20" s="1"/>
  <c r="AF28" i="20" a="1"/>
  <c r="AF28" i="20" s="1"/>
  <c r="AF40" i="20" a="1"/>
  <c r="AF40" i="20" s="1"/>
  <c r="AF36" i="20" a="1"/>
  <c r="AF36" i="20" s="1"/>
  <c r="AF34" i="20" a="1"/>
  <c r="AF34" i="20" s="1"/>
  <c r="AF30" i="20" a="1"/>
  <c r="AF30" i="20" s="1"/>
  <c r="AF38" i="20" a="1"/>
  <c r="AF38" i="20" s="1"/>
  <c r="AF22" i="20" a="1"/>
  <c r="AF22" i="20" s="1"/>
  <c r="AF18" i="20" a="1"/>
  <c r="AF18" i="20" s="1"/>
  <c r="AF26" i="20" a="1"/>
  <c r="AF26" i="20" s="1"/>
  <c r="AF24" i="20" a="1"/>
  <c r="AF24" i="20" s="1"/>
  <c r="AF20" i="20" a="1"/>
  <c r="AF20" i="20" s="1"/>
  <c r="AF12" i="20" a="1"/>
  <c r="AF12" i="20" s="1"/>
  <c r="AF16" i="20" a="1"/>
  <c r="AF16" i="20" s="1"/>
  <c r="AF14" i="20" a="1"/>
  <c r="AF14" i="20" s="1"/>
  <c r="AG10" i="20"/>
  <c r="AG11" i="20"/>
  <c r="AG36" i="19" a="1"/>
  <c r="AG36" i="19" s="1"/>
  <c r="AG32" i="19" a="1"/>
  <c r="AG32" i="19" s="1"/>
  <c r="AG22" i="19" a="1"/>
  <c r="AG22" i="19" s="1"/>
  <c r="AG40" i="19" a="1"/>
  <c r="AG40" i="19" s="1"/>
  <c r="AG34" i="19" a="1"/>
  <c r="AG34" i="19" s="1"/>
  <c r="AG38" i="19" a="1"/>
  <c r="AG38" i="19" s="1"/>
  <c r="AG28" i="19" a="1"/>
  <c r="AG28" i="19" s="1"/>
  <c r="AG14" i="19" a="1"/>
  <c r="AG14" i="19" s="1"/>
  <c r="AG24" i="19" a="1"/>
  <c r="AG24" i="19" s="1"/>
  <c r="AG16" i="19" a="1"/>
  <c r="AG16" i="19" s="1"/>
  <c r="AG30" i="19" a="1"/>
  <c r="AG30" i="19" s="1"/>
  <c r="AG20" i="19" a="1"/>
  <c r="AG20" i="19" s="1"/>
  <c r="AG11" i="19"/>
  <c r="AG12" i="19" a="1"/>
  <c r="AG12" i="19" s="1"/>
  <c r="AG26" i="19" a="1"/>
  <c r="AG26" i="19" s="1"/>
  <c r="AG18" i="19" a="1"/>
  <c r="AG18" i="19" s="1"/>
  <c r="AG10" i="19"/>
  <c r="AD12" i="12" a="1"/>
  <c r="AD12" i="12" s="1"/>
  <c r="AD11" i="12"/>
  <c r="AE8" i="12"/>
  <c r="AD10" i="12"/>
  <c r="AE24" i="12" a="1"/>
  <c r="AE24" i="12" s="1"/>
  <c r="AE23" i="12"/>
  <c r="AE22" i="12"/>
  <c r="AF20" i="12"/>
  <c r="AE72" i="12" a="1"/>
  <c r="AE72" i="12" s="1"/>
  <c r="AE71" i="12"/>
  <c r="AE70" i="12"/>
  <c r="AF68" i="12"/>
  <c r="AE78" i="12" a="1"/>
  <c r="AE78" i="12" s="1"/>
  <c r="AE77" i="12"/>
  <c r="AE76" i="12"/>
  <c r="AF74" i="12"/>
  <c r="AE60" i="12" a="1"/>
  <c r="AE60" i="12" s="1"/>
  <c r="AE59" i="12"/>
  <c r="AE58" i="12"/>
  <c r="AF56" i="12"/>
  <c r="AE48" i="12" a="1"/>
  <c r="AE48" i="12" s="1"/>
  <c r="AE47" i="12"/>
  <c r="AE46" i="12"/>
  <c r="AF44" i="12"/>
  <c r="AF17" i="12"/>
  <c r="AF16" i="12"/>
  <c r="AG14" i="12"/>
  <c r="AF18" i="12" a="1"/>
  <c r="AF18" i="12" s="1"/>
  <c r="AE30" i="12" a="1"/>
  <c r="AE30" i="12" s="1"/>
  <c r="AE29" i="12"/>
  <c r="AE28" i="12"/>
  <c r="AF26" i="12"/>
  <c r="AE42" i="12" a="1"/>
  <c r="AE42" i="12" s="1"/>
  <c r="AE41" i="12"/>
  <c r="AE40" i="12"/>
  <c r="AF38" i="12"/>
  <c r="AE36" i="12" a="1"/>
  <c r="AE36" i="12" s="1"/>
  <c r="AE35" i="12"/>
  <c r="AE34" i="12"/>
  <c r="AF32" i="12"/>
  <c r="AE54" i="12" a="1"/>
  <c r="AE54" i="12" s="1"/>
  <c r="AE53" i="12"/>
  <c r="AE52" i="12"/>
  <c r="AF50" i="12"/>
  <c r="AE38" i="8"/>
  <c r="AD41" i="8"/>
  <c r="AD42" i="8" s="1" a="1"/>
  <c r="AD42" i="8" s="1"/>
  <c r="AD40" i="8"/>
  <c r="AE10" i="8"/>
  <c r="AE11" i="8"/>
  <c r="AE12" i="8" s="1" a="1"/>
  <c r="AE12" i="8" s="1"/>
  <c r="AF8" i="8"/>
  <c r="AE46" i="8"/>
  <c r="AE47" i="8" s="1" a="1"/>
  <c r="AE47" i="8" s="1"/>
  <c r="AF43" i="8"/>
  <c r="AE45" i="8"/>
  <c r="AF53" i="8"/>
  <c r="AE55" i="8"/>
  <c r="AE56" i="8"/>
  <c r="AE57" i="8" s="1" a="1"/>
  <c r="AE57" i="8" s="1"/>
  <c r="AD15" i="8"/>
  <c r="AD16" i="8"/>
  <c r="AD17" i="8" s="1" a="1"/>
  <c r="AD17" i="8" s="1"/>
  <c r="AE13" i="8"/>
  <c r="AE61" i="8"/>
  <c r="AE62" i="8" s="1" a="1"/>
  <c r="AE62" i="8" s="1"/>
  <c r="AF58" i="8"/>
  <c r="AE60" i="8"/>
  <c r="AE26" i="8"/>
  <c r="AE27" i="8" s="1" a="1"/>
  <c r="AE27" i="8" s="1"/>
  <c r="AE25" i="8"/>
  <c r="AF23" i="8"/>
  <c r="AF48" i="8"/>
  <c r="AE51" i="8"/>
  <c r="AE52" i="8" s="1" a="1"/>
  <c r="AE52" i="8" s="1"/>
  <c r="AE50" i="8"/>
  <c r="AD35" i="8"/>
  <c r="AD36" i="8"/>
  <c r="AD37" i="8" s="1" a="1"/>
  <c r="AD37" i="8" s="1"/>
  <c r="AE33" i="8"/>
  <c r="AE30" i="8"/>
  <c r="AE31" i="8"/>
  <c r="AE32" i="8" s="1" a="1"/>
  <c r="AE32" i="8" s="1"/>
  <c r="AF28" i="8"/>
  <c r="AE66" i="8"/>
  <c r="AE67" i="8" s="1" a="1"/>
  <c r="AE67" i="8" s="1"/>
  <c r="AF63" i="8"/>
  <c r="AE65" i="8"/>
  <c r="AG18" i="8"/>
  <c r="AF20" i="8"/>
  <c r="AF21" i="8"/>
  <c r="AF22" i="8" s="1" a="1"/>
  <c r="AF22" i="8" s="1"/>
  <c r="AI13" i="39" l="1"/>
  <c r="AI14" i="39" s="1"/>
  <c r="AH14" i="39"/>
  <c r="AH52" i="39"/>
  <c r="AH51" i="39" s="1"/>
  <c r="AJ9" i="39"/>
  <c r="AH13" i="19"/>
  <c r="AI12" i="19"/>
  <c r="AI13" i="19"/>
  <c r="AI38" i="19"/>
  <c r="AH39" i="19"/>
  <c r="AI39" i="19"/>
  <c r="AI32" i="19"/>
  <c r="AH33" i="19"/>
  <c r="AI33" i="19"/>
  <c r="AH25" i="19"/>
  <c r="AI24" i="19"/>
  <c r="AI25" i="19"/>
  <c r="AI34" i="19"/>
  <c r="AH35" i="19"/>
  <c r="AI35" i="19"/>
  <c r="AI37" i="19"/>
  <c r="AI36" i="19"/>
  <c r="AH37" i="19"/>
  <c r="AH19" i="19"/>
  <c r="AI18" i="19"/>
  <c r="AI19" i="19"/>
  <c r="AH21" i="19"/>
  <c r="AI20" i="19"/>
  <c r="AI21" i="19"/>
  <c r="AH41" i="19"/>
  <c r="AI40" i="19"/>
  <c r="AI41" i="19"/>
  <c r="AI27" i="19"/>
  <c r="AI26" i="19"/>
  <c r="AH27" i="19"/>
  <c r="AH31" i="19"/>
  <c r="AI31" i="19"/>
  <c r="AI30" i="19"/>
  <c r="AI28" i="19"/>
  <c r="AH29" i="19"/>
  <c r="AI29" i="19"/>
  <c r="AH23" i="19"/>
  <c r="AI22" i="19"/>
  <c r="AI23" i="19"/>
  <c r="AH17" i="19"/>
  <c r="AI17" i="19"/>
  <c r="AI16" i="19"/>
  <c r="AI14" i="19"/>
  <c r="AH15" i="19"/>
  <c r="AI15" i="19"/>
  <c r="AG12" i="36" a="1"/>
  <c r="AG12" i="36" s="1"/>
  <c r="B12" i="36" s="1"/>
  <c r="AG30" i="36" a="1"/>
  <c r="AG30" i="36" s="1"/>
  <c r="B28" i="36" s="1"/>
  <c r="B77" i="36"/>
  <c r="AH75" i="36"/>
  <c r="B78" i="36"/>
  <c r="AH78" i="36"/>
  <c r="B76" i="36"/>
  <c r="AH77" i="36"/>
  <c r="AH76" i="36"/>
  <c r="AH74" i="36"/>
  <c r="AH41" i="36"/>
  <c r="AH39" i="36"/>
  <c r="AH40" i="36"/>
  <c r="B42" i="36"/>
  <c r="B40" i="36"/>
  <c r="AH42" i="36"/>
  <c r="AH38" i="36"/>
  <c r="B41" i="36"/>
  <c r="AH69" i="36"/>
  <c r="AH68" i="36"/>
  <c r="AH72" i="36"/>
  <c r="AH70" i="36"/>
  <c r="B71" i="36"/>
  <c r="AH71" i="36"/>
  <c r="B70" i="36"/>
  <c r="B72" i="36"/>
  <c r="AH8" i="36"/>
  <c r="AH23" i="36"/>
  <c r="AH22" i="36"/>
  <c r="AH24" i="36"/>
  <c r="AH20" i="36"/>
  <c r="AH21" i="36"/>
  <c r="B24" i="36"/>
  <c r="B23" i="36"/>
  <c r="B22" i="36"/>
  <c r="AH48" i="36"/>
  <c r="B46" i="36"/>
  <c r="AH47" i="36"/>
  <c r="AH46" i="36"/>
  <c r="B47" i="36"/>
  <c r="B48" i="36"/>
  <c r="AH45" i="36"/>
  <c r="AH44" i="36"/>
  <c r="AH58" i="36"/>
  <c r="B58" i="36"/>
  <c r="AH60" i="36"/>
  <c r="AH56" i="36"/>
  <c r="AH59" i="36"/>
  <c r="B60" i="36"/>
  <c r="AH57" i="36"/>
  <c r="B59" i="36"/>
  <c r="B18" i="36"/>
  <c r="B17" i="36"/>
  <c r="AH15" i="36"/>
  <c r="B16" i="36"/>
  <c r="AH14" i="36"/>
  <c r="AH18" i="36"/>
  <c r="AH17" i="36"/>
  <c r="AH16" i="36"/>
  <c r="AH41" i="35"/>
  <c r="AH39" i="35"/>
  <c r="B42" i="35"/>
  <c r="AH40" i="35"/>
  <c r="AH42" i="35"/>
  <c r="AH38" i="35"/>
  <c r="B40" i="35"/>
  <c r="B41" i="35"/>
  <c r="AH67" i="35"/>
  <c r="B66" i="35"/>
  <c r="B67" i="35"/>
  <c r="AH64" i="35"/>
  <c r="AH66" i="35"/>
  <c r="AH63" i="35"/>
  <c r="B65" i="35"/>
  <c r="AH65" i="35"/>
  <c r="AH55" i="35"/>
  <c r="B56" i="35"/>
  <c r="AH53" i="35"/>
  <c r="B57" i="35"/>
  <c r="B55" i="35"/>
  <c r="AH54" i="35"/>
  <c r="AH57" i="35"/>
  <c r="AH56" i="35"/>
  <c r="AH28" i="35"/>
  <c r="AH30" i="35"/>
  <c r="AH32" i="35"/>
  <c r="B31" i="35"/>
  <c r="AH29" i="35"/>
  <c r="B32" i="35"/>
  <c r="B30" i="35"/>
  <c r="AH31" i="35"/>
  <c r="AH60" i="35"/>
  <c r="B60" i="35"/>
  <c r="B62" i="35"/>
  <c r="AH61" i="35"/>
  <c r="AH58" i="35"/>
  <c r="AH59" i="35"/>
  <c r="B61" i="35"/>
  <c r="AH62" i="35"/>
  <c r="AH37" i="35"/>
  <c r="AH35" i="35"/>
  <c r="AH36" i="35"/>
  <c r="AH34" i="35"/>
  <c r="B35" i="35"/>
  <c r="B37" i="35"/>
  <c r="AH33" i="35"/>
  <c r="B36" i="35"/>
  <c r="B21" i="35"/>
  <c r="B22" i="35"/>
  <c r="B20" i="35"/>
  <c r="AH22" i="35"/>
  <c r="AH18" i="35"/>
  <c r="AH20" i="35"/>
  <c r="AH21" i="35"/>
  <c r="AH19" i="35"/>
  <c r="AF62" i="12"/>
  <c r="AE66" i="12" a="1"/>
  <c r="AE66" i="12" s="1"/>
  <c r="AE65" i="12"/>
  <c r="AE64" i="12"/>
  <c r="AG38" i="20" a="1"/>
  <c r="AG38" i="20" s="1"/>
  <c r="AG32" i="20" a="1"/>
  <c r="AG32" i="20" s="1"/>
  <c r="AG28" i="20" a="1"/>
  <c r="AG28" i="20" s="1"/>
  <c r="AG40" i="20" a="1"/>
  <c r="AG40" i="20" s="1"/>
  <c r="AG36" i="20" a="1"/>
  <c r="AG36" i="20" s="1"/>
  <c r="AG34" i="20" a="1"/>
  <c r="AG34" i="20" s="1"/>
  <c r="AG26" i="20" a="1"/>
  <c r="AG26" i="20" s="1"/>
  <c r="AG24" i="20" a="1"/>
  <c r="AG24" i="20" s="1"/>
  <c r="AG20" i="20" a="1"/>
  <c r="AG20" i="20" s="1"/>
  <c r="AG22" i="20" a="1"/>
  <c r="AG22" i="20" s="1"/>
  <c r="AG18" i="20" a="1"/>
  <c r="AG18" i="20" s="1"/>
  <c r="AG30" i="20" a="1"/>
  <c r="AG30" i="20" s="1"/>
  <c r="AG16" i="20" a="1"/>
  <c r="AG16" i="20" s="1"/>
  <c r="AG14" i="20" a="1"/>
  <c r="AG14" i="20" s="1"/>
  <c r="AG12" i="20" a="1"/>
  <c r="AG12" i="20" s="1"/>
  <c r="AE11" i="12"/>
  <c r="AE10" i="12"/>
  <c r="AF8" i="12"/>
  <c r="AE12" i="12" a="1"/>
  <c r="AE12" i="12" s="1"/>
  <c r="AF60" i="12" a="1"/>
  <c r="AF60" i="12" s="1"/>
  <c r="AF59" i="12"/>
  <c r="AF58" i="12"/>
  <c r="AG56" i="12"/>
  <c r="AF77" i="12"/>
  <c r="AF76" i="12"/>
  <c r="AG74" i="12"/>
  <c r="AF78" i="12" a="1"/>
  <c r="AF78" i="12" s="1"/>
  <c r="AF71" i="12"/>
  <c r="AF70" i="12"/>
  <c r="AG68" i="12"/>
  <c r="AF72" i="12" a="1"/>
  <c r="AF72" i="12" s="1"/>
  <c r="AF23" i="12"/>
  <c r="AF22" i="12"/>
  <c r="AG20" i="12"/>
  <c r="AF24" i="12" a="1"/>
  <c r="AF24" i="12" s="1"/>
  <c r="AG18" i="12" a="1"/>
  <c r="AG18" i="12" s="1"/>
  <c r="AG17" i="12"/>
  <c r="AG16" i="12"/>
  <c r="AF53" i="12"/>
  <c r="AF54" i="12" a="1"/>
  <c r="AF54" i="12" s="1"/>
  <c r="AF52" i="12"/>
  <c r="AG50" i="12"/>
  <c r="AF36" i="12" a="1"/>
  <c r="AF36" i="12" s="1"/>
  <c r="AF35" i="12"/>
  <c r="AF34" i="12"/>
  <c r="AG32" i="12"/>
  <c r="AF42" i="12" a="1"/>
  <c r="AF42" i="12" s="1"/>
  <c r="AF41" i="12"/>
  <c r="AF40" i="12"/>
  <c r="AG38" i="12"/>
  <c r="AF29" i="12"/>
  <c r="AF28" i="12"/>
  <c r="AG26" i="12"/>
  <c r="AF30" i="12" a="1"/>
  <c r="AF30" i="12" s="1"/>
  <c r="AF48" i="12" a="1"/>
  <c r="AF48" i="12" s="1"/>
  <c r="AF47" i="12"/>
  <c r="AF46" i="12"/>
  <c r="AG44" i="12"/>
  <c r="AE41" i="8"/>
  <c r="AE42" i="8" s="1" a="1"/>
  <c r="AE42" i="8" s="1"/>
  <c r="AF38" i="8"/>
  <c r="AE40" i="8"/>
  <c r="AE36" i="8"/>
  <c r="AE37" i="8" s="1" a="1"/>
  <c r="AE37" i="8" s="1"/>
  <c r="AF33" i="8"/>
  <c r="AE35" i="8"/>
  <c r="AE16" i="8"/>
  <c r="AE17" i="8" s="1" a="1"/>
  <c r="AE17" i="8" s="1"/>
  <c r="AF13" i="8"/>
  <c r="AE15" i="8"/>
  <c r="AF55" i="8"/>
  <c r="AG53" i="8"/>
  <c r="AF56" i="8"/>
  <c r="AF57" i="8" s="1" a="1"/>
  <c r="AF57" i="8" s="1"/>
  <c r="AF11" i="8"/>
  <c r="AF12" i="8" s="1" a="1"/>
  <c r="AF12" i="8" s="1"/>
  <c r="AG8" i="8"/>
  <c r="AF10" i="8"/>
  <c r="AF50" i="8"/>
  <c r="AF51" i="8"/>
  <c r="AF52" i="8" s="1" a="1"/>
  <c r="AF52" i="8" s="1"/>
  <c r="AG48" i="8"/>
  <c r="AG63" i="8"/>
  <c r="AF65" i="8"/>
  <c r="AF66" i="8"/>
  <c r="AF67" i="8" s="1" a="1"/>
  <c r="AF67" i="8" s="1"/>
  <c r="AG20" i="8"/>
  <c r="AG21" i="8"/>
  <c r="AG22" i="8" s="1" a="1"/>
  <c r="AG22" i="8" s="1"/>
  <c r="AF31" i="8"/>
  <c r="AF32" i="8" s="1" a="1"/>
  <c r="AF32" i="8" s="1"/>
  <c r="AG28" i="8"/>
  <c r="AF30" i="8"/>
  <c r="AF25" i="8"/>
  <c r="AG23" i="8"/>
  <c r="AF26" i="8"/>
  <c r="AF27" i="8" s="1" a="1"/>
  <c r="AF27" i="8" s="1"/>
  <c r="AG58" i="8"/>
  <c r="AF60" i="8"/>
  <c r="AF61" i="8"/>
  <c r="AF62" i="8" s="1" a="1"/>
  <c r="AF62" i="8" s="1"/>
  <c r="AF46" i="8"/>
  <c r="AF47" i="8" s="1" a="1"/>
  <c r="AF47" i="8" s="1"/>
  <c r="AG43" i="8"/>
  <c r="AF45" i="8"/>
  <c r="AI52" i="39" l="1"/>
  <c r="AI51" i="39" s="1"/>
  <c r="B11" i="36"/>
  <c r="AH12" i="36"/>
  <c r="D6" i="35"/>
  <c r="AH9" i="36"/>
  <c r="AI30" i="20"/>
  <c r="AI31" i="20"/>
  <c r="AH31" i="20"/>
  <c r="AI24" i="20"/>
  <c r="AI25" i="20"/>
  <c r="AH25" i="20"/>
  <c r="AI41" i="20"/>
  <c r="AH41" i="20"/>
  <c r="AI40" i="20"/>
  <c r="AI13" i="20"/>
  <c r="AH13" i="20"/>
  <c r="AI12" i="20"/>
  <c r="AH19" i="20"/>
  <c r="AI19" i="20"/>
  <c r="AI18" i="20"/>
  <c r="AI26" i="20"/>
  <c r="AH27" i="20"/>
  <c r="AI27" i="20"/>
  <c r="AI29" i="20"/>
  <c r="AH29" i="20"/>
  <c r="AI28" i="20"/>
  <c r="AI14" i="20"/>
  <c r="AH15" i="20"/>
  <c r="AI15" i="20"/>
  <c r="AI23" i="20"/>
  <c r="AI22" i="20"/>
  <c r="AH23" i="20"/>
  <c r="AH35" i="20"/>
  <c r="AI34" i="20"/>
  <c r="AI35" i="20"/>
  <c r="AI33" i="20"/>
  <c r="AI32" i="20"/>
  <c r="AH33" i="20"/>
  <c r="AH21" i="20"/>
  <c r="AI20" i="20"/>
  <c r="AI21" i="20"/>
  <c r="AI37" i="20"/>
  <c r="AH37" i="20"/>
  <c r="AI36" i="20"/>
  <c r="AI39" i="20"/>
  <c r="AH39" i="20"/>
  <c r="AI38" i="20"/>
  <c r="AI17" i="20"/>
  <c r="AI16" i="20"/>
  <c r="AH17" i="20"/>
  <c r="F4" i="19"/>
  <c r="D4" i="19"/>
  <c r="D6" i="19"/>
  <c r="F5" i="19"/>
  <c r="D7" i="19"/>
  <c r="F7" i="19"/>
  <c r="F6" i="19"/>
  <c r="D5" i="19"/>
  <c r="AH10" i="36"/>
  <c r="B10" i="36"/>
  <c r="AH28" i="36"/>
  <c r="AH11" i="36"/>
  <c r="AH29" i="36"/>
  <c r="AH27" i="36"/>
  <c r="F6" i="36" s="1"/>
  <c r="B30" i="36"/>
  <c r="B29" i="36"/>
  <c r="D5" i="36" s="1"/>
  <c r="AH26" i="36"/>
  <c r="D6" i="36" s="1"/>
  <c r="AH30" i="36"/>
  <c r="F4" i="36" s="1"/>
  <c r="F5" i="36"/>
  <c r="AH18" i="12"/>
  <c r="B17" i="12"/>
  <c r="B18" i="12"/>
  <c r="AH16" i="12"/>
  <c r="B16" i="12"/>
  <c r="AH14" i="12"/>
  <c r="AH17" i="12"/>
  <c r="AH15" i="12"/>
  <c r="D5" i="35"/>
  <c r="AH18" i="8"/>
  <c r="AH19" i="8"/>
  <c r="AH21" i="8"/>
  <c r="B21" i="8"/>
  <c r="B22" i="8"/>
  <c r="AH20" i="8"/>
  <c r="AH22" i="8"/>
  <c r="F4" i="35"/>
  <c r="F7" i="35"/>
  <c r="D4" i="35"/>
  <c r="F6" i="35"/>
  <c r="D7" i="35"/>
  <c r="F5" i="35"/>
  <c r="AF65" i="12"/>
  <c r="AF64" i="12"/>
  <c r="AG62" i="12"/>
  <c r="AF66" i="12" a="1"/>
  <c r="AF66" i="12" s="1"/>
  <c r="AF10" i="12"/>
  <c r="AG8" i="12"/>
  <c r="AG12" i="12" s="1" a="1"/>
  <c r="AG12" i="12" s="1"/>
  <c r="AF12" i="12" a="1"/>
  <c r="AF12" i="12" s="1"/>
  <c r="AF11" i="12"/>
  <c r="AG59" i="12"/>
  <c r="AG58" i="12"/>
  <c r="AG60" i="12" a="1"/>
  <c r="AG60" i="12" s="1"/>
  <c r="AG24" i="12" a="1"/>
  <c r="AG24" i="12" s="1"/>
  <c r="AG23" i="12"/>
  <c r="AG22" i="12"/>
  <c r="AG72" i="12" a="1"/>
  <c r="AG72" i="12" s="1"/>
  <c r="AG71" i="12"/>
  <c r="AG70" i="12"/>
  <c r="AG78" i="12" a="1"/>
  <c r="AG78" i="12" s="1"/>
  <c r="AG77" i="12"/>
  <c r="AG76" i="12"/>
  <c r="AG42" i="12" a="1"/>
  <c r="AG42" i="12" s="1"/>
  <c r="AG41" i="12"/>
  <c r="AG40" i="12"/>
  <c r="AG36" i="12" a="1"/>
  <c r="AG36" i="12" s="1"/>
  <c r="AG35" i="12"/>
  <c r="AG34" i="12"/>
  <c r="AG54" i="12" a="1"/>
  <c r="AG54" i="12" s="1"/>
  <c r="AG53" i="12"/>
  <c r="AG52" i="12"/>
  <c r="AG30" i="12" a="1"/>
  <c r="AG30" i="12" s="1"/>
  <c r="AG29" i="12"/>
  <c r="AG28" i="12"/>
  <c r="AG48" i="12" a="1"/>
  <c r="AG48" i="12" s="1"/>
  <c r="AG47" i="12"/>
  <c r="AG46" i="12"/>
  <c r="AG38" i="8"/>
  <c r="AF40" i="8"/>
  <c r="AF41" i="8"/>
  <c r="AF42" i="8" s="1" a="1"/>
  <c r="AF42" i="8" s="1"/>
  <c r="AG30" i="8"/>
  <c r="AG31" i="8"/>
  <c r="AG32" i="8" s="1" a="1"/>
  <c r="AG32" i="8" s="1"/>
  <c r="AG56" i="8"/>
  <c r="AG57" i="8" s="1" a="1"/>
  <c r="AG57" i="8" s="1"/>
  <c r="AG55" i="8"/>
  <c r="AG60" i="8"/>
  <c r="AG61" i="8"/>
  <c r="AG62" i="8" s="1" a="1"/>
  <c r="AG62" i="8" s="1"/>
  <c r="AG26" i="8"/>
  <c r="AG27" i="8" s="1" a="1"/>
  <c r="AG27" i="8" s="1"/>
  <c r="AG25" i="8"/>
  <c r="AG51" i="8"/>
  <c r="AG52" i="8" s="1" a="1"/>
  <c r="AG52" i="8" s="1"/>
  <c r="AG50" i="8"/>
  <c r="AG10" i="8"/>
  <c r="AG11" i="8"/>
  <c r="AG12" i="8" s="1" a="1"/>
  <c r="AG12" i="8" s="1"/>
  <c r="AG46" i="8"/>
  <c r="AG47" i="8" s="1" a="1"/>
  <c r="AG47" i="8" s="1"/>
  <c r="AG45" i="8"/>
  <c r="AG65" i="8"/>
  <c r="AG66" i="8"/>
  <c r="AG67" i="8" s="1" a="1"/>
  <c r="AG67" i="8" s="1"/>
  <c r="AG33" i="8"/>
  <c r="AF35" i="8"/>
  <c r="AF36" i="8"/>
  <c r="AF37" i="8" s="1" a="1"/>
  <c r="AF37" i="8" s="1"/>
  <c r="AG13" i="8"/>
  <c r="AF15" i="8"/>
  <c r="AF16" i="8"/>
  <c r="AF17" i="8" s="1" a="1"/>
  <c r="AF17" i="8" s="1"/>
  <c r="F7" i="36" l="1"/>
  <c r="D7" i="36"/>
  <c r="F7" i="20"/>
  <c r="F4" i="20"/>
  <c r="D7" i="20"/>
  <c r="F6" i="20"/>
  <c r="D6" i="20"/>
  <c r="F5" i="20"/>
  <c r="D5" i="20"/>
  <c r="AH71" i="12"/>
  <c r="AH68" i="12"/>
  <c r="AH72" i="12"/>
  <c r="B70" i="12"/>
  <c r="B71" i="12"/>
  <c r="B72" i="12"/>
  <c r="AH69" i="12"/>
  <c r="AH70" i="12"/>
  <c r="AH57" i="12"/>
  <c r="AH58" i="12"/>
  <c r="B58" i="12"/>
  <c r="AH60" i="12"/>
  <c r="B59" i="12"/>
  <c r="AH59" i="12"/>
  <c r="AH56" i="12"/>
  <c r="B60" i="12"/>
  <c r="AH34" i="12"/>
  <c r="B36" i="12"/>
  <c r="AH33" i="12"/>
  <c r="AH32" i="12"/>
  <c r="B34" i="12"/>
  <c r="AH36" i="12"/>
  <c r="B35" i="12"/>
  <c r="AH35" i="12"/>
  <c r="B30" i="12"/>
  <c r="AH28" i="12"/>
  <c r="AH26" i="12"/>
  <c r="B29" i="12"/>
  <c r="AH27" i="12"/>
  <c r="AH29" i="12"/>
  <c r="AH30" i="12"/>
  <c r="B28" i="12"/>
  <c r="AH78" i="12"/>
  <c r="B76" i="12"/>
  <c r="AH77" i="12"/>
  <c r="B77" i="12"/>
  <c r="AH75" i="12"/>
  <c r="AH74" i="12"/>
  <c r="AH76" i="12"/>
  <c r="B78" i="12"/>
  <c r="B22" i="12"/>
  <c r="AH22" i="12"/>
  <c r="B23" i="12"/>
  <c r="AH23" i="12"/>
  <c r="B24" i="12"/>
  <c r="AH24" i="12"/>
  <c r="AH20" i="12"/>
  <c r="AH21" i="12"/>
  <c r="AH54" i="12"/>
  <c r="AH50" i="12"/>
  <c r="AH53" i="12"/>
  <c r="B54" i="12"/>
  <c r="AH52" i="12"/>
  <c r="B52" i="12"/>
  <c r="AH51" i="12"/>
  <c r="B53" i="12"/>
  <c r="AH45" i="12"/>
  <c r="AH44" i="12"/>
  <c r="B47" i="12"/>
  <c r="B48" i="12"/>
  <c r="AH48" i="12"/>
  <c r="AH46" i="12"/>
  <c r="B46" i="12"/>
  <c r="AH47" i="12"/>
  <c r="AH42" i="12"/>
  <c r="AH39" i="12"/>
  <c r="AH40" i="12"/>
  <c r="AH38" i="12"/>
  <c r="B42" i="12"/>
  <c r="AH41" i="12"/>
  <c r="B41" i="12"/>
  <c r="B40" i="12"/>
  <c r="B26" i="8"/>
  <c r="AH27" i="8"/>
  <c r="B27" i="8"/>
  <c r="AH26" i="8"/>
  <c r="AH23" i="8"/>
  <c r="AH25" i="8"/>
  <c r="AH24" i="8"/>
  <c r="B56" i="8"/>
  <c r="AH54" i="8"/>
  <c r="AH55" i="8"/>
  <c r="AH57" i="8"/>
  <c r="AH56" i="8"/>
  <c r="B55" i="8"/>
  <c r="AH53" i="8"/>
  <c r="B57" i="8"/>
  <c r="AH60" i="8"/>
  <c r="B62" i="8"/>
  <c r="AH62" i="8"/>
  <c r="B61" i="8"/>
  <c r="AH61" i="8"/>
  <c r="AH58" i="8"/>
  <c r="AH59" i="8"/>
  <c r="AH32" i="8"/>
  <c r="B31" i="8"/>
  <c r="B32" i="8"/>
  <c r="AH31" i="8"/>
  <c r="AH28" i="8"/>
  <c r="AH30" i="8"/>
  <c r="AH29" i="8"/>
  <c r="AH65" i="8"/>
  <c r="AH66" i="8"/>
  <c r="AH67" i="8"/>
  <c r="AH63" i="8"/>
  <c r="AH64" i="8"/>
  <c r="B66" i="8"/>
  <c r="B67" i="8"/>
  <c r="AH47" i="8"/>
  <c r="AH43" i="8"/>
  <c r="AH46" i="8"/>
  <c r="AH45" i="8"/>
  <c r="AH44" i="8"/>
  <c r="B47" i="8"/>
  <c r="B46" i="8"/>
  <c r="AH49" i="8"/>
  <c r="AH50" i="8"/>
  <c r="AH48" i="8"/>
  <c r="B51" i="8"/>
  <c r="AH52" i="8"/>
  <c r="B52" i="8"/>
  <c r="AH51" i="8"/>
  <c r="AH10" i="8"/>
  <c r="AH12" i="8"/>
  <c r="AH8" i="8"/>
  <c r="B11" i="8"/>
  <c r="B12" i="8"/>
  <c r="AH11" i="8"/>
  <c r="AH9" i="8"/>
  <c r="AG66" i="12" a="1"/>
  <c r="AG66" i="12" s="1"/>
  <c r="AG65" i="12"/>
  <c r="AG64" i="12"/>
  <c r="AG10" i="12"/>
  <c r="AG11" i="12"/>
  <c r="AG40" i="8"/>
  <c r="AG41" i="8"/>
  <c r="AG42" i="8" s="1" a="1"/>
  <c r="AG42" i="8" s="1"/>
  <c r="AG15" i="8"/>
  <c r="AG16" i="8"/>
  <c r="AG17" i="8" s="1" a="1"/>
  <c r="AG17" i="8" s="1"/>
  <c r="AG35" i="8"/>
  <c r="AG36" i="8"/>
  <c r="AG37" i="8" s="1" a="1"/>
  <c r="AG37" i="8" s="1"/>
  <c r="AH10" i="12" l="1"/>
  <c r="AH12" i="12"/>
  <c r="AH11" i="12"/>
  <c r="AH8" i="12"/>
  <c r="AH9" i="12"/>
  <c r="AH63" i="12"/>
  <c r="AH65" i="12"/>
  <c r="B64" i="12"/>
  <c r="B65" i="12"/>
  <c r="AH62" i="12"/>
  <c r="B66" i="12"/>
  <c r="AH66" i="12"/>
  <c r="AH64" i="12"/>
  <c r="B12" i="12"/>
  <c r="B11" i="12"/>
  <c r="B10" i="12"/>
  <c r="D4" i="12" s="1"/>
  <c r="AH39" i="8"/>
  <c r="AH42" i="8"/>
  <c r="AH41" i="8"/>
  <c r="B41" i="8"/>
  <c r="B42" i="8"/>
  <c r="AH40" i="8"/>
  <c r="AH38" i="8"/>
  <c r="AH15" i="8"/>
  <c r="AH13" i="8"/>
  <c r="B17" i="8"/>
  <c r="AH14" i="8"/>
  <c r="AH17" i="8"/>
  <c r="AH16" i="8"/>
  <c r="B16" i="8"/>
  <c r="AH35" i="8"/>
  <c r="AH37" i="8"/>
  <c r="AH33" i="8"/>
  <c r="AH36" i="8"/>
  <c r="AH34" i="8"/>
  <c r="B37" i="8"/>
  <c r="B36" i="8"/>
  <c r="D6" i="12" l="1"/>
  <c r="F5" i="12"/>
  <c r="D5" i="12"/>
  <c r="F7" i="12"/>
  <c r="F4" i="12"/>
  <c r="F6" i="12"/>
  <c r="D7" i="12"/>
  <c r="F7" i="8"/>
  <c r="F5" i="8"/>
  <c r="F4" i="8"/>
  <c r="D5" i="8"/>
  <c r="D6" i="8"/>
  <c r="F6" i="8"/>
  <c r="D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Chef de production</author>
  </authors>
  <commentList>
    <comment ref="I21" authorId="0" shapeId="0" xr:uid="{437EB7D6-C877-4E2C-8B94-9A3800E906FA}">
      <text>
        <r>
          <rPr>
            <b/>
            <sz val="8"/>
            <color indexed="81"/>
            <rFont val="Tahoma"/>
            <family val="2"/>
          </rPr>
          <t xml:space="preserve">*:Formation .
</t>
        </r>
        <r>
          <rPr>
            <sz val="8"/>
            <color indexed="81"/>
            <rFont val="Tahoma"/>
            <family val="2"/>
          </rPr>
          <t>Indiquer la formation suivie</t>
        </r>
        <r>
          <rPr>
            <sz val="8"/>
            <color indexed="81"/>
            <rFont val="Tahoma"/>
            <family val="2"/>
          </rPr>
          <t xml:space="preserve">
</t>
        </r>
        <r>
          <rPr>
            <b/>
            <sz val="8"/>
            <color indexed="81"/>
            <rFont val="Tahoma"/>
            <family val="2"/>
          </rPr>
          <t>POUR LES TITULAIRES :</t>
        </r>
        <r>
          <rPr>
            <sz val="8"/>
            <color indexed="81"/>
            <rFont val="Tahoma"/>
            <family val="2"/>
          </rPr>
          <t xml:space="preserve">
</t>
        </r>
        <r>
          <rPr>
            <b/>
            <sz val="8"/>
            <color indexed="81"/>
            <rFont val="Tahoma"/>
            <family val="2"/>
          </rPr>
          <t>La formation est payée donc :</t>
        </r>
        <r>
          <rPr>
            <sz val="8"/>
            <color indexed="81"/>
            <rFont val="Tahoma"/>
            <family val="2"/>
          </rPr>
          <t xml:space="preserve">
Dans la cellule Heures Travaillées saisir un nombre d'heures correspondant à une joournée Légale
</t>
        </r>
        <r>
          <rPr>
            <b/>
            <sz val="8"/>
            <color indexed="81"/>
            <rFont val="Tahoma"/>
            <family val="2"/>
          </rPr>
          <t>POUR LES CES</t>
        </r>
        <r>
          <rPr>
            <sz val="8"/>
            <color indexed="81"/>
            <rFont val="Tahoma"/>
            <family val="2"/>
          </rPr>
          <t xml:space="preserve">
</t>
        </r>
        <r>
          <rPr>
            <b/>
            <sz val="8"/>
            <color indexed="81"/>
            <rFont val="Tahoma"/>
            <family val="2"/>
          </rPr>
          <t>La formation n'est pas prise en charge</t>
        </r>
        <r>
          <rPr>
            <sz val="8"/>
            <color indexed="81"/>
            <rFont val="Tahoma"/>
            <family val="2"/>
          </rPr>
          <t xml:space="preserve"> par l'entreprise pendant leur temps de travil
DONC
Dans la cellule Horaires 
Coller la cellule F à la place des heures
Ce temps sera calculé comme une ABSENCE</t>
        </r>
      </text>
    </comment>
    <comment ref="I23" authorId="0" shapeId="0" xr:uid="{1961D771-03CD-40D0-9470-7D9619FDF0F8}">
      <text>
        <r>
          <rPr>
            <b/>
            <sz val="8"/>
            <color indexed="81"/>
            <rFont val="Tahoma"/>
            <family val="2"/>
          </rPr>
          <t>*:Arrêt Maladie</t>
        </r>
        <r>
          <rPr>
            <sz val="8"/>
            <color indexed="81"/>
            <rFont val="Tahoma"/>
            <family val="2"/>
          </rPr>
          <t xml:space="preserve">
</t>
        </r>
      </text>
    </comment>
    <comment ref="I24" authorId="1" shapeId="0" xr:uid="{AA40A390-D198-4FBB-A154-A80B848A7343}">
      <text>
        <r>
          <rPr>
            <b/>
            <sz val="8"/>
            <color indexed="81"/>
            <rFont val="Tahoma"/>
            <family val="2"/>
          </rPr>
          <t>Accident de Travail</t>
        </r>
        <r>
          <rPr>
            <sz val="8"/>
            <color indexed="81"/>
            <rFont val="Tahoma"/>
            <family val="2"/>
          </rPr>
          <t xml:space="preserve">
</t>
        </r>
      </text>
    </comment>
    <comment ref="I25" authorId="0" shapeId="0" xr:uid="{69D74F0F-F8E6-46DF-853B-2FD4B6703629}">
      <text>
        <r>
          <rPr>
            <b/>
            <sz val="8"/>
            <color indexed="81"/>
            <rFont val="Tahoma"/>
            <family val="2"/>
          </rPr>
          <t xml:space="preserve">Absence Autorisée Payée
</t>
        </r>
        <r>
          <rPr>
            <sz val="8"/>
            <color indexed="81"/>
            <rFont val="Tahoma"/>
            <family val="2"/>
          </rPr>
          <t xml:space="preserve">Dans la cellule Heures:
</t>
        </r>
        <r>
          <rPr>
            <b/>
            <sz val="8"/>
            <color indexed="81"/>
            <rFont val="Tahoma"/>
            <family val="2"/>
          </rPr>
          <t>saisir un horaire correspondant à une journée légale</t>
        </r>
        <r>
          <rPr>
            <sz val="8"/>
            <color indexed="81"/>
            <rFont val="Tahoma"/>
            <family val="2"/>
          </rPr>
          <t xml:space="preserve">
puisque ces heures d'absence sont payées</t>
        </r>
        <r>
          <rPr>
            <sz val="8"/>
            <color indexed="81"/>
            <rFont val="Tahoma"/>
            <family val="2"/>
          </rPr>
          <t xml:space="preserve">
</t>
        </r>
      </text>
    </comment>
    <comment ref="I27" authorId="0" shapeId="0" xr:uid="{44E56B11-ED66-4B5B-90ED-EAE3AA844C1B}">
      <text>
        <r>
          <rPr>
            <b/>
            <sz val="8"/>
            <color indexed="81"/>
            <rFont val="Tahoma"/>
            <family val="2"/>
          </rPr>
          <t>*:Demande de congés non prévus
OU 
Prévus MAIS à valider avec les contremaîtres et l'équipe</t>
        </r>
        <r>
          <rPr>
            <sz val="8"/>
            <color indexed="81"/>
            <rFont val="Tahoma"/>
            <family val="2"/>
          </rPr>
          <t xml:space="preserve">
</t>
        </r>
      </text>
    </comment>
    <comment ref="I28" authorId="0" shapeId="0" xr:uid="{167879F4-1D7F-4C82-8B99-37976645B66C}">
      <text>
        <r>
          <rPr>
            <b/>
            <sz val="8"/>
            <color indexed="81"/>
            <rFont val="Tahoma"/>
            <family val="2"/>
          </rPr>
          <t xml:space="preserve">RECUPERATION
des dépassements horaires
</t>
        </r>
        <r>
          <rPr>
            <sz val="8"/>
            <color indexed="81"/>
            <rFont val="Tahoma"/>
            <family val="2"/>
          </rPr>
          <t xml:space="preserve">
</t>
        </r>
      </text>
    </comment>
    <comment ref="I29" authorId="1" shapeId="0" xr:uid="{2F09DFE9-2EEC-47C7-B43B-227C22FB7BF9}">
      <text>
        <r>
          <rPr>
            <b/>
            <sz val="8"/>
            <color indexed="81"/>
            <rFont val="Tahoma"/>
            <family val="2"/>
          </rPr>
          <t xml:space="preserve">*:Jour Férié
</t>
        </r>
        <r>
          <rPr>
            <sz val="8"/>
            <color indexed="81"/>
            <rFont val="Tahoma"/>
            <family val="2"/>
          </rPr>
          <t>Attention aux livraisons
et dates de fabrication
Moins de chauffeurs:</t>
        </r>
        <r>
          <rPr>
            <sz val="8"/>
            <color indexed="81"/>
            <rFont val="Tahoma"/>
            <family val="2"/>
          </rPr>
          <t xml:space="preserve">
</t>
        </r>
      </text>
    </comment>
    <comment ref="I30" authorId="1" shapeId="0" xr:uid="{7954C021-CF53-4744-8738-2A6873040CC2}">
      <text>
        <r>
          <rPr>
            <b/>
            <sz val="8"/>
            <color indexed="81"/>
            <rFont val="Tahoma"/>
            <family val="2"/>
          </rPr>
          <t>Réduction de temps de Travail</t>
        </r>
        <r>
          <rPr>
            <sz val="8"/>
            <color indexed="81"/>
            <rFont val="Tahoma"/>
            <family val="2"/>
          </rPr>
          <t xml:space="preserve">
</t>
        </r>
      </text>
    </comment>
    <comment ref="I31" authorId="0" shapeId="0" xr:uid="{8AB016DE-208E-49AF-A6E2-6ED24221F39C}">
      <text>
        <r>
          <rPr>
            <b/>
            <sz val="8"/>
            <color indexed="81"/>
            <rFont val="Tahoma"/>
            <family val="2"/>
          </rPr>
          <t xml:space="preserve">*:Repos Hebdomadaire
Coller cette cellule dans la cellule Horaires
</t>
        </r>
        <r>
          <rPr>
            <sz val="8"/>
            <color indexed="81"/>
            <rFont val="Tahoma"/>
            <family val="2"/>
          </rPr>
          <t>Parce que le décompte des heures est basé sur 5 jours de Travail</t>
        </r>
        <r>
          <rPr>
            <sz val="8"/>
            <color indexed="81"/>
            <rFont val="Tahoma"/>
            <family val="2"/>
          </rPr>
          <t xml:space="preserve">
</t>
        </r>
      </text>
    </comment>
    <comment ref="I32" authorId="0" shapeId="0" xr:uid="{5D73051E-58C7-439D-8F0C-94BA1C4CE462}">
      <text>
        <r>
          <rPr>
            <b/>
            <sz val="8"/>
            <color indexed="81"/>
            <rFont val="Tahoma"/>
            <family val="2"/>
          </rPr>
          <t xml:space="preserve">*:Repos COMPENSATEUR des jours fériés et/ou chomés
</t>
        </r>
        <r>
          <rPr>
            <sz val="8"/>
            <color indexed="81"/>
            <rFont val="Tahoma"/>
            <family val="2"/>
          </rPr>
          <t>12 à 13 Jours par an
Jour de l'an SAUF personnel Mairie
Pâques Lundi 24 Avril
Fête du travail 1° Mai
Victoire 45 Lundi 8 Mai
Ascension Jeudi 1° Juin
Pentecôte Lundi 12 Juin
Fête Nationale Vendredi 14 Juillet
Assomption Mardi 15 Aout
Toussaint Mercredi 1) Novembre
Armistice 18 Samedi 11 Novembre SAUF Territoriaux
Noel Lundi 25 Décembre
Jour de Maire SAUF Hospitaliers
Dans la cellule horaire
Saisissez un horaire correspondant à une journée légale
Puisque ces heures de récupération sont payées.</t>
        </r>
        <r>
          <rPr>
            <sz val="8"/>
            <color indexed="81"/>
            <rFont val="Tahoma"/>
            <family val="2"/>
          </rPr>
          <t xml:space="preserve">
</t>
        </r>
      </text>
    </comment>
    <comment ref="I33" authorId="0" shapeId="0" xr:uid="{494CFEEE-6D87-4C75-A2FC-1184D2786C86}">
      <text>
        <r>
          <rPr>
            <b/>
            <sz val="8"/>
            <color indexed="81"/>
            <rFont val="Tahoma"/>
            <family val="2"/>
          </rPr>
          <t>*:Congés Annuels</t>
        </r>
        <r>
          <rPr>
            <sz val="8"/>
            <color indexed="81"/>
            <rFont val="Tahoma"/>
            <family val="2"/>
          </rPr>
          <t xml:space="preserve">
HORS SAISON</t>
        </r>
      </text>
    </comment>
    <comment ref="I34" authorId="1" shapeId="0" xr:uid="{DA51FD8C-6215-470C-BC3D-B9C3E4459994}">
      <text>
        <r>
          <rPr>
            <b/>
            <sz val="8"/>
            <color indexed="81"/>
            <rFont val="Tahoma"/>
            <family val="2"/>
          </rPr>
          <t>Congés Annuels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Chef de production</author>
    <author>*</author>
  </authors>
  <commentList>
    <comment ref="AR197" authorId="0" shapeId="0" xr:uid="{857553F5-6AB3-4661-B298-B67322DF2885}">
      <text>
        <r>
          <rPr>
            <b/>
            <sz val="8"/>
            <color indexed="81"/>
            <rFont val="Tahoma"/>
            <family val="2"/>
          </rPr>
          <t>Réduction de temps de Travail</t>
        </r>
        <r>
          <rPr>
            <sz val="8"/>
            <color indexed="81"/>
            <rFont val="Tahoma"/>
            <family val="2"/>
          </rPr>
          <t xml:space="preserve">
</t>
        </r>
      </text>
    </comment>
    <comment ref="AR198" authorId="1" shapeId="0" xr:uid="{0157B9D0-8C55-49CB-AA99-09C730DBF375}">
      <text>
        <r>
          <rPr>
            <b/>
            <sz val="8"/>
            <color indexed="81"/>
            <rFont val="Tahoma"/>
            <family val="2"/>
          </rPr>
          <t xml:space="preserve">*:Repos Hebdomadaire
Coller cette cellule dans la cellule Horaires
</t>
        </r>
        <r>
          <rPr>
            <sz val="8"/>
            <color indexed="81"/>
            <rFont val="Tahoma"/>
            <family val="2"/>
          </rPr>
          <t>Parce que le décompte des heures est basé sur 5 jours de Travail</t>
        </r>
        <r>
          <rPr>
            <sz val="8"/>
            <color indexed="81"/>
            <rFont val="Tahoma"/>
            <family val="2"/>
          </rPr>
          <t xml:space="preserve">
</t>
        </r>
      </text>
    </comment>
    <comment ref="AR199" authorId="1" shapeId="0" xr:uid="{D2678E5D-6A54-4902-95A3-60F64E00CC34}">
      <text>
        <r>
          <rPr>
            <b/>
            <sz val="8"/>
            <color indexed="81"/>
            <rFont val="Tahoma"/>
            <family val="2"/>
          </rPr>
          <t xml:space="preserve">*:Repos COMPENSATEUR des jours fériés et/ou chomés
</t>
        </r>
        <r>
          <rPr>
            <sz val="8"/>
            <color indexed="81"/>
            <rFont val="Tahoma"/>
            <family val="2"/>
          </rPr>
          <t>12 à 13 Jours par an
Jour de l'an SAUF personnel Mairie
Pâques Lundi 24 Avril
Fête du travail 1° Mai
Victoire 45 Lundi 8 Mai
Ascension Jeudi 1° Juin
Pentecôte Lundi 12 Juin
Fête Nationale Vendredi 14 Juillet
Assomption Mardi 15 Aout
Toussaint Mercredi 1) Novembre
Armistice 18 Samedi 11 Novembre SAUF Territoriaux
Noel Lundi 25 Décembre
Jour de Maire SAUF Hospitaliers
Dans la cellule horaire
Saisissez un horaire correspondant à une journée légale
Puisque ces heures de récupération sont payées.</t>
        </r>
        <r>
          <rPr>
            <sz val="8"/>
            <color indexed="81"/>
            <rFont val="Tahoma"/>
            <family val="2"/>
          </rPr>
          <t xml:space="preserve">
</t>
        </r>
      </text>
    </comment>
    <comment ref="AR200" authorId="0" shapeId="0" xr:uid="{405EBC9F-85FA-4D7E-B4BF-EC5FED484C58}">
      <text>
        <r>
          <rPr>
            <b/>
            <sz val="8"/>
            <color indexed="81"/>
            <rFont val="Tahoma"/>
            <family val="2"/>
          </rPr>
          <t>Congés Annuels</t>
        </r>
        <r>
          <rPr>
            <sz val="8"/>
            <color indexed="81"/>
            <rFont val="Tahoma"/>
            <family val="2"/>
          </rPr>
          <t xml:space="preserve">
</t>
        </r>
      </text>
    </comment>
    <comment ref="AR202" authorId="1" shapeId="0" xr:uid="{E3C5E468-27CE-4B83-83D2-7315DE875141}">
      <text>
        <r>
          <rPr>
            <b/>
            <sz val="8"/>
            <color indexed="81"/>
            <rFont val="Tahoma"/>
            <family val="2"/>
          </rPr>
          <t xml:space="preserve">Absence Autorisée Payée
</t>
        </r>
        <r>
          <rPr>
            <sz val="8"/>
            <color indexed="81"/>
            <rFont val="Tahoma"/>
            <family val="2"/>
          </rPr>
          <t xml:space="preserve">Dans la cellule Heures:
</t>
        </r>
        <r>
          <rPr>
            <b/>
            <sz val="8"/>
            <color indexed="81"/>
            <rFont val="Tahoma"/>
            <family val="2"/>
          </rPr>
          <t>saisir un horaire correspondant à une journée légale</t>
        </r>
        <r>
          <rPr>
            <sz val="8"/>
            <color indexed="81"/>
            <rFont val="Tahoma"/>
            <family val="2"/>
          </rPr>
          <t xml:space="preserve">
puisque ces heures d'absence sont payées</t>
        </r>
        <r>
          <rPr>
            <sz val="8"/>
            <color indexed="81"/>
            <rFont val="Tahoma"/>
            <family val="2"/>
          </rPr>
          <t xml:space="preserve">
</t>
        </r>
      </text>
    </comment>
    <comment ref="AR203" authorId="1" shapeId="0" xr:uid="{171A04B2-586B-49D5-BE51-5A79DA7E2860}">
      <text>
        <r>
          <rPr>
            <b/>
            <sz val="8"/>
            <color indexed="81"/>
            <rFont val="Tahoma"/>
            <family val="2"/>
          </rPr>
          <t>*:Demande de congés non prévus
OU 
Prévus MAIS à valider avec les contremaîtres et l'équipe</t>
        </r>
        <r>
          <rPr>
            <sz val="8"/>
            <color indexed="81"/>
            <rFont val="Tahoma"/>
            <family val="2"/>
          </rPr>
          <t xml:space="preserve">
</t>
        </r>
      </text>
    </comment>
    <comment ref="AR205" authorId="0" shapeId="0" xr:uid="{15569EBC-4E35-4B9D-9B0E-BD4D19CC8BBA}">
      <text>
        <r>
          <rPr>
            <b/>
            <sz val="8"/>
            <color indexed="81"/>
            <rFont val="Tahoma"/>
            <family val="2"/>
          </rPr>
          <t>Accident de Travail</t>
        </r>
        <r>
          <rPr>
            <sz val="8"/>
            <color indexed="81"/>
            <rFont val="Tahoma"/>
            <family val="2"/>
          </rPr>
          <t xml:space="preserve">
</t>
        </r>
      </text>
    </comment>
    <comment ref="AR208" authorId="0" shapeId="0" xr:uid="{0BE17990-E3DC-4D07-A739-D20EDD001B4B}">
      <text>
        <r>
          <rPr>
            <b/>
            <sz val="8"/>
            <color indexed="81"/>
            <rFont val="Tahoma"/>
            <family val="2"/>
          </rPr>
          <t>Accident de Travail</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Chef de production</author>
    <author>*</author>
    <author>Leboucher.joel@wanadoo.fr</author>
  </authors>
  <commentList>
    <comment ref="BR9" authorId="0" shapeId="0" xr:uid="{FA75FE71-C8C7-49EE-B5AD-956E00DCDF14}">
      <text>
        <r>
          <rPr>
            <b/>
            <sz val="10"/>
            <color indexed="81"/>
            <rFont val="Tahoma"/>
            <family val="2"/>
          </rPr>
          <t>ATTENTION
Reprise des livraisons écoles</t>
        </r>
        <r>
          <rPr>
            <b/>
            <sz val="8"/>
            <color indexed="81"/>
            <rFont val="Tahoma"/>
            <family val="2"/>
          </rPr>
          <t xml:space="preserve">
</t>
        </r>
        <r>
          <rPr>
            <sz val="8"/>
            <color indexed="81"/>
            <rFont val="Tahoma"/>
            <family val="2"/>
          </rPr>
          <t xml:space="preserve">
</t>
        </r>
      </text>
    </comment>
    <comment ref="BR10" authorId="1" shapeId="0" xr:uid="{ACB332A0-693B-4560-8C2D-BC9C3B7D4726}">
      <text>
        <r>
          <rPr>
            <b/>
            <sz val="8"/>
            <color indexed="81"/>
            <rFont val="Tahoma"/>
            <family val="2"/>
          </rPr>
          <t>*:Vacances Scolaires</t>
        </r>
        <r>
          <rPr>
            <sz val="8"/>
            <color indexed="81"/>
            <rFont val="Tahoma"/>
            <family val="2"/>
          </rPr>
          <t xml:space="preserve">
Effectifs en baisse .
Moins de chauffeurs</t>
        </r>
      </text>
    </comment>
    <comment ref="BR11" authorId="0" shapeId="0" xr:uid="{D14F9CDD-68A6-4171-A8AE-3E3BB2EAD058}">
      <text>
        <r>
          <rPr>
            <b/>
            <sz val="8"/>
            <color indexed="81"/>
            <rFont val="Tahoma"/>
            <family val="2"/>
          </rPr>
          <t xml:space="preserve">*:Jour Férié
</t>
        </r>
        <r>
          <rPr>
            <sz val="8"/>
            <color indexed="81"/>
            <rFont val="Tahoma"/>
            <family val="2"/>
          </rPr>
          <t>Attention aux livraisons
et dates de fabrication
Moins de chauffeurs:</t>
        </r>
        <r>
          <rPr>
            <sz val="8"/>
            <color indexed="81"/>
            <rFont val="Tahoma"/>
            <family val="2"/>
          </rPr>
          <t xml:space="preserve">
</t>
        </r>
      </text>
    </comment>
    <comment ref="BJ16" authorId="1" shapeId="0" xr:uid="{1AE7077A-DCDA-4A70-9812-7B4DE06E26B7}">
      <text>
        <r>
          <rPr>
            <b/>
            <sz val="8"/>
            <color indexed="81"/>
            <rFont val="Tahoma"/>
            <family val="2"/>
          </rPr>
          <t>*:Congés Annuels</t>
        </r>
        <r>
          <rPr>
            <sz val="8"/>
            <color indexed="81"/>
            <rFont val="Tahoma"/>
            <family val="2"/>
          </rPr>
          <t xml:space="preserve">
HORS SAISON</t>
        </r>
      </text>
    </comment>
    <comment ref="BR19" authorId="0" shapeId="0" xr:uid="{896733DA-09CB-4F3B-8303-CF27B184EC9E}">
      <text>
        <r>
          <rPr>
            <b/>
            <sz val="8"/>
            <color indexed="81"/>
            <rFont val="Tahoma"/>
            <family val="2"/>
          </rPr>
          <t xml:space="preserve">A TRAVAILLÉ CE JOUR LA
</t>
        </r>
        <r>
          <rPr>
            <b/>
            <sz val="10"/>
            <color indexed="10"/>
            <rFont val="Tahoma"/>
            <family val="2"/>
          </rPr>
          <t xml:space="preserve">T </t>
        </r>
        <r>
          <rPr>
            <b/>
            <sz val="8"/>
            <color indexed="81"/>
            <rFont val="Tahoma"/>
            <family val="2"/>
          </rPr>
          <t xml:space="preserve">ou </t>
        </r>
        <r>
          <rPr>
            <b/>
            <sz val="10"/>
            <color indexed="10"/>
            <rFont val="Tahoma"/>
            <family val="2"/>
          </rPr>
          <t>1</t>
        </r>
        <r>
          <rPr>
            <b/>
            <sz val="8"/>
            <color indexed="81"/>
            <rFont val="Tahoma"/>
            <family val="2"/>
          </rPr>
          <t xml:space="preserve">
</t>
        </r>
        <r>
          <rPr>
            <b/>
            <sz val="8"/>
            <color indexed="10"/>
            <rFont val="Tahoma"/>
            <family val="2"/>
          </rPr>
          <t>TITULAIRE</t>
        </r>
        <r>
          <rPr>
            <sz val="8"/>
            <color indexed="12"/>
            <rFont val="Tahoma"/>
            <family val="2"/>
          </rPr>
          <t>:</t>
        </r>
        <r>
          <rPr>
            <sz val="8"/>
            <color indexed="81"/>
            <rFont val="Tahoma"/>
            <family val="2"/>
          </rPr>
          <t xml:space="preserve"> 35 H  par semaine / 7H00 par jour
mais fait des journées de 8H
</t>
        </r>
        <r>
          <rPr>
            <b/>
            <sz val="8"/>
            <color indexed="12"/>
            <rFont val="Tahoma"/>
            <family val="2"/>
          </rPr>
          <t>CEC : 32 H / 6H 24 par jour</t>
        </r>
        <r>
          <rPr>
            <sz val="8"/>
            <color indexed="81"/>
            <rFont val="Tahoma"/>
            <family val="2"/>
          </rPr>
          <t xml:space="preserve">
1 jour :      </t>
        </r>
        <r>
          <rPr>
            <b/>
            <sz val="8"/>
            <color indexed="12"/>
            <rFont val="Tahoma"/>
            <family val="2"/>
          </rPr>
          <t>6H24</t>
        </r>
        <r>
          <rPr>
            <sz val="8"/>
            <color indexed="81"/>
            <rFont val="Tahoma"/>
            <family val="2"/>
          </rPr>
          <t xml:space="preserve">
2jours :   </t>
        </r>
        <r>
          <rPr>
            <b/>
            <sz val="8"/>
            <color indexed="12"/>
            <rFont val="Tahoma"/>
            <family val="2"/>
          </rPr>
          <t>12H48</t>
        </r>
        <r>
          <rPr>
            <sz val="8"/>
            <color indexed="81"/>
            <rFont val="Tahoma"/>
            <family val="2"/>
          </rPr>
          <t xml:space="preserve">
3 jours :  </t>
        </r>
        <r>
          <rPr>
            <b/>
            <sz val="8"/>
            <color indexed="12"/>
            <rFont val="Tahoma"/>
            <family val="2"/>
          </rPr>
          <t>19H12</t>
        </r>
        <r>
          <rPr>
            <sz val="8"/>
            <color indexed="81"/>
            <rFont val="Tahoma"/>
            <family val="2"/>
          </rPr>
          <t xml:space="preserve">
4 jours :  </t>
        </r>
        <r>
          <rPr>
            <b/>
            <sz val="8"/>
            <color indexed="12"/>
            <rFont val="Tahoma"/>
            <family val="2"/>
          </rPr>
          <t>25H36</t>
        </r>
        <r>
          <rPr>
            <sz val="8"/>
            <color indexed="81"/>
            <rFont val="Tahoma"/>
            <family val="2"/>
          </rPr>
          <t xml:space="preserve">
5 jours :  </t>
        </r>
        <r>
          <rPr>
            <b/>
            <sz val="8"/>
            <color indexed="12"/>
            <rFont val="Tahoma"/>
            <family val="2"/>
          </rPr>
          <t>32H00</t>
        </r>
        <r>
          <rPr>
            <sz val="8"/>
            <color indexed="81"/>
            <rFont val="Tahoma"/>
            <family val="2"/>
          </rPr>
          <t xml:space="preserve">
</t>
        </r>
        <r>
          <rPr>
            <b/>
            <sz val="8"/>
            <color indexed="17"/>
            <rFont val="Tahoma"/>
            <family val="2"/>
          </rPr>
          <t xml:space="preserve">CES : </t>
        </r>
        <r>
          <rPr>
            <sz val="8"/>
            <color indexed="81"/>
            <rFont val="Tahoma"/>
            <family val="2"/>
          </rPr>
          <t xml:space="preserve">20 H / 4H par jour
</t>
        </r>
      </text>
    </comment>
    <comment ref="BJ21" authorId="0" shapeId="0" xr:uid="{A0554FA3-CC37-410C-B5FE-BBACEDA33A6E}">
      <text>
        <r>
          <rPr>
            <b/>
            <sz val="8"/>
            <color indexed="81"/>
            <rFont val="Tahoma"/>
            <family val="2"/>
          </rPr>
          <t>Accident de Travail</t>
        </r>
        <r>
          <rPr>
            <sz val="8"/>
            <color indexed="81"/>
            <rFont val="Tahoma"/>
            <family val="2"/>
          </rPr>
          <t xml:space="preserve">
</t>
        </r>
      </text>
    </comment>
    <comment ref="BJ22" authorId="1" shapeId="0" xr:uid="{BB3818E2-C309-4339-8FDE-E478D32D11ED}">
      <text>
        <r>
          <rPr>
            <b/>
            <sz val="8"/>
            <color indexed="81"/>
            <rFont val="Tahoma"/>
            <family val="2"/>
          </rPr>
          <t xml:space="preserve">Absences Diverses
</t>
        </r>
        <r>
          <rPr>
            <sz val="8"/>
            <color indexed="81"/>
            <rFont val="Tahoma"/>
            <family val="2"/>
          </rPr>
          <t>Pour remplir rapidement et provisoirement les plannings en attendant d'avoir plus de temps pour afficher les précisions</t>
        </r>
        <r>
          <rPr>
            <sz val="8"/>
            <color indexed="81"/>
            <rFont val="Tahoma"/>
            <family val="2"/>
          </rPr>
          <t xml:space="preserve">
</t>
        </r>
      </text>
    </comment>
    <comment ref="BR22" authorId="0" shapeId="0" xr:uid="{92FA27C3-3A0A-4AB2-BD82-6D863378A559}">
      <text>
        <r>
          <rPr>
            <b/>
            <sz val="8"/>
            <color indexed="81"/>
            <rFont val="Tahoma"/>
            <family val="2"/>
          </rPr>
          <t>Travaille ou Absent?</t>
        </r>
        <r>
          <rPr>
            <sz val="8"/>
            <color indexed="81"/>
            <rFont val="Tahoma"/>
            <family val="2"/>
          </rPr>
          <t xml:space="preserve">
</t>
        </r>
      </text>
    </comment>
    <comment ref="BJ23" authorId="1" shapeId="0" xr:uid="{95DDFDEA-9F86-4D6E-B3BC-217EFB44E2F8}">
      <text>
        <r>
          <rPr>
            <b/>
            <sz val="8"/>
            <color indexed="81"/>
            <rFont val="Tahoma"/>
            <family val="2"/>
          </rPr>
          <t>*:Demande de congés non prévus
OU 
Prévus MAIS à valider avec les contremaîtres et l'équipe</t>
        </r>
        <r>
          <rPr>
            <sz val="8"/>
            <color indexed="81"/>
            <rFont val="Tahoma"/>
            <family val="2"/>
          </rPr>
          <t xml:space="preserve">
</t>
        </r>
      </text>
    </comment>
    <comment ref="BR26" authorId="2" shapeId="0" xr:uid="{F27E02C3-F716-46A0-95D3-2F2093D1CB98}">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26" authorId="2" shapeId="0" xr:uid="{EEFCA582-8C53-4043-9D5B-DFFB47EA29E6}">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27" authorId="2" shapeId="0" xr:uid="{C8E51B48-427F-457A-AEF0-340C31C3249B}">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27" authorId="2" shapeId="0" xr:uid="{84CB6A45-81EA-4EEF-BC99-D4F47C672BAE}">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28" authorId="2" shapeId="0" xr:uid="{8DEBD1E8-32F2-457D-A926-16064832C5D1}">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28" authorId="2" shapeId="0" xr:uid="{97077485-06E2-4344-A618-3E3A35B2C29B}">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29" authorId="2" shapeId="0" xr:uid="{F164ED86-149A-47CD-83CA-9E6D327A73B4}">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29" authorId="2" shapeId="0" xr:uid="{6833C90A-2E6F-4B88-B61D-4DCC1637062E}">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0" authorId="2" shapeId="0" xr:uid="{302A8607-ED4B-4923-93E9-66A5D60590FC}">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0" authorId="2" shapeId="0" xr:uid="{7A849BFE-056B-4B36-A927-1C2BCF359087}">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1" authorId="2" shapeId="0" xr:uid="{06ABF484-796E-4F82-BA44-819E2F6A603B}">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1" authorId="2" shapeId="0" xr:uid="{853F4F14-3179-4B0D-B131-043626A7F274}">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2" authorId="2" shapeId="0" xr:uid="{C5A40989-9D31-462E-BB63-485FF15F8331}">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2" authorId="2" shapeId="0" xr:uid="{CC8D4AA3-0BEB-44C8-9635-C0C0EDD97900}">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3" authorId="2" shapeId="0" xr:uid="{D6235063-0B66-4F56-80CF-5EFFC980EFD6}">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3" authorId="2" shapeId="0" xr:uid="{9E017F2D-2226-4A9B-B369-94880F71716E}">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4" authorId="2" shapeId="0" xr:uid="{8C645490-D834-4E13-834E-0CEBEDE777E8}">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4" authorId="2" shapeId="0" xr:uid="{471433CD-83EA-4390-83DF-27AB5AEF8D00}">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5" authorId="2" shapeId="0" xr:uid="{9FDFE539-1DCB-4031-ABD9-9CB2B563A874}">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5" authorId="2" shapeId="0" xr:uid="{8624CEE5-D68A-4FF1-8F52-7136F98A83AE}">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6" authorId="2" shapeId="0" xr:uid="{13EE685D-FD7B-4087-B484-D2A668786892}">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6" authorId="2" shapeId="0" xr:uid="{7D87A3F9-1D50-4728-BD6F-DC25C106D782}">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7" authorId="2" shapeId="0" xr:uid="{8E267D83-4575-465C-89F7-659FF8F93A9E}">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7" authorId="2" shapeId="0" xr:uid="{D87FEDF1-573F-49F9-AE6C-471CE81556FF}">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8" authorId="2" shapeId="0" xr:uid="{23E9FF20-21AA-47A6-B49E-D36E6C185B99}">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8" authorId="2" shapeId="0" xr:uid="{77554C84-EF9B-4908-9670-E8C2D0D96B4C}">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9" authorId="2" shapeId="0" xr:uid="{0150772A-0FC4-4EF0-B407-58C1DCC8D843}">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9" authorId="2" shapeId="0" xr:uid="{420FBF98-F1E8-4DE1-855C-E577DBC1E570}">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40" authorId="2" shapeId="0" xr:uid="{6FA3A78C-3128-418E-BF3E-8FFE1EDB7A8C}">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40" authorId="2" shapeId="0" xr:uid="{38036FF8-DD09-48B4-BE8B-96B2CDC3599F}">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41" authorId="2" shapeId="0" xr:uid="{5566EB15-B37C-475F-8431-9F18984C51D6}">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41" authorId="2" shapeId="0" xr:uid="{F2940FA4-5F79-471B-9C43-7C71CCEDE4E9}">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42" authorId="2" shapeId="0" xr:uid="{635F968A-4A35-42B7-A2BE-A568459738B9}">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42" authorId="2" shapeId="0" xr:uid="{A27A10B6-D5EA-4822-8267-D5C21C76A0CB}">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Chef de production</author>
    <author>*</author>
    <author>Leboucher.joel@wanadoo.fr</author>
  </authors>
  <commentList>
    <comment ref="BR9" authorId="0" shapeId="0" xr:uid="{37D747C3-50CF-4B89-AFC3-DA896A007FA0}">
      <text>
        <r>
          <rPr>
            <b/>
            <sz val="10"/>
            <color indexed="81"/>
            <rFont val="Tahoma"/>
            <family val="2"/>
          </rPr>
          <t>ATTENTION
Reprise des livraisons écoles</t>
        </r>
        <r>
          <rPr>
            <b/>
            <sz val="8"/>
            <color indexed="81"/>
            <rFont val="Tahoma"/>
            <family val="2"/>
          </rPr>
          <t xml:space="preserve">
</t>
        </r>
        <r>
          <rPr>
            <sz val="8"/>
            <color indexed="81"/>
            <rFont val="Tahoma"/>
            <family val="2"/>
          </rPr>
          <t xml:space="preserve">
</t>
        </r>
      </text>
    </comment>
    <comment ref="BR10" authorId="1" shapeId="0" xr:uid="{65680B25-1AB8-42A4-9BB6-58B302A3B1A2}">
      <text>
        <r>
          <rPr>
            <b/>
            <sz val="8"/>
            <color indexed="81"/>
            <rFont val="Tahoma"/>
            <family val="2"/>
          </rPr>
          <t>*:Vacances Scolaires</t>
        </r>
        <r>
          <rPr>
            <sz val="8"/>
            <color indexed="81"/>
            <rFont val="Tahoma"/>
            <family val="2"/>
          </rPr>
          <t xml:space="preserve">
Effectifs en baisse .
Moins de chauffeurs</t>
        </r>
      </text>
    </comment>
    <comment ref="BR11" authorId="0" shapeId="0" xr:uid="{2907FA60-0C1F-46A7-B60E-7AD029EB117C}">
      <text>
        <r>
          <rPr>
            <b/>
            <sz val="8"/>
            <color indexed="81"/>
            <rFont val="Tahoma"/>
            <family val="2"/>
          </rPr>
          <t xml:space="preserve">*:Jour Férié
</t>
        </r>
        <r>
          <rPr>
            <sz val="8"/>
            <color indexed="81"/>
            <rFont val="Tahoma"/>
            <family val="2"/>
          </rPr>
          <t>Attention aux livraisons
et dates de fabrication
Moins de chauffeurs:</t>
        </r>
        <r>
          <rPr>
            <sz val="8"/>
            <color indexed="81"/>
            <rFont val="Tahoma"/>
            <family val="2"/>
          </rPr>
          <t xml:space="preserve">
</t>
        </r>
      </text>
    </comment>
    <comment ref="BJ16" authorId="1" shapeId="0" xr:uid="{A2A116C4-4F18-4BDF-91C4-5EB49E3C9334}">
      <text>
        <r>
          <rPr>
            <b/>
            <sz val="8"/>
            <color indexed="81"/>
            <rFont val="Tahoma"/>
            <family val="2"/>
          </rPr>
          <t>*:Congés Annuels</t>
        </r>
        <r>
          <rPr>
            <sz val="8"/>
            <color indexed="81"/>
            <rFont val="Tahoma"/>
            <family val="2"/>
          </rPr>
          <t xml:space="preserve">
HORS SAISON</t>
        </r>
      </text>
    </comment>
    <comment ref="BR19" authorId="0" shapeId="0" xr:uid="{CA1379F4-FCE5-4182-AAB1-8D8068372AFE}">
      <text>
        <r>
          <rPr>
            <b/>
            <sz val="8"/>
            <color indexed="81"/>
            <rFont val="Tahoma"/>
            <family val="2"/>
          </rPr>
          <t xml:space="preserve">A TRAVAILLÉ CE JOUR LA
</t>
        </r>
        <r>
          <rPr>
            <b/>
            <sz val="10"/>
            <color indexed="10"/>
            <rFont val="Tahoma"/>
            <family val="2"/>
          </rPr>
          <t xml:space="preserve">T </t>
        </r>
        <r>
          <rPr>
            <b/>
            <sz val="8"/>
            <color indexed="81"/>
            <rFont val="Tahoma"/>
            <family val="2"/>
          </rPr>
          <t xml:space="preserve">ou </t>
        </r>
        <r>
          <rPr>
            <b/>
            <sz val="10"/>
            <color indexed="10"/>
            <rFont val="Tahoma"/>
            <family val="2"/>
          </rPr>
          <t>1</t>
        </r>
        <r>
          <rPr>
            <b/>
            <sz val="8"/>
            <color indexed="81"/>
            <rFont val="Tahoma"/>
            <family val="2"/>
          </rPr>
          <t xml:space="preserve">
</t>
        </r>
        <r>
          <rPr>
            <b/>
            <sz val="8"/>
            <color indexed="10"/>
            <rFont val="Tahoma"/>
            <family val="2"/>
          </rPr>
          <t>TITULAIRE</t>
        </r>
        <r>
          <rPr>
            <sz val="8"/>
            <color indexed="12"/>
            <rFont val="Tahoma"/>
            <family val="2"/>
          </rPr>
          <t>:</t>
        </r>
        <r>
          <rPr>
            <sz val="8"/>
            <color indexed="81"/>
            <rFont val="Tahoma"/>
            <family val="2"/>
          </rPr>
          <t xml:space="preserve"> 35 H  par semaine / 7H00 par jour
mais fait des journées de 8H
</t>
        </r>
        <r>
          <rPr>
            <b/>
            <sz val="8"/>
            <color indexed="12"/>
            <rFont val="Tahoma"/>
            <family val="2"/>
          </rPr>
          <t>CEC : 32 H / 6H 24 par jour</t>
        </r>
        <r>
          <rPr>
            <sz val="8"/>
            <color indexed="81"/>
            <rFont val="Tahoma"/>
            <family val="2"/>
          </rPr>
          <t xml:space="preserve">
1 jour :      </t>
        </r>
        <r>
          <rPr>
            <b/>
            <sz val="8"/>
            <color indexed="12"/>
            <rFont val="Tahoma"/>
            <family val="2"/>
          </rPr>
          <t>6H24</t>
        </r>
        <r>
          <rPr>
            <sz val="8"/>
            <color indexed="81"/>
            <rFont val="Tahoma"/>
            <family val="2"/>
          </rPr>
          <t xml:space="preserve">
2jours :   </t>
        </r>
        <r>
          <rPr>
            <b/>
            <sz val="8"/>
            <color indexed="12"/>
            <rFont val="Tahoma"/>
            <family val="2"/>
          </rPr>
          <t>12H48</t>
        </r>
        <r>
          <rPr>
            <sz val="8"/>
            <color indexed="81"/>
            <rFont val="Tahoma"/>
            <family val="2"/>
          </rPr>
          <t xml:space="preserve">
3 jours :  </t>
        </r>
        <r>
          <rPr>
            <b/>
            <sz val="8"/>
            <color indexed="12"/>
            <rFont val="Tahoma"/>
            <family val="2"/>
          </rPr>
          <t>19H12</t>
        </r>
        <r>
          <rPr>
            <sz val="8"/>
            <color indexed="81"/>
            <rFont val="Tahoma"/>
            <family val="2"/>
          </rPr>
          <t xml:space="preserve">
4 jours :  </t>
        </r>
        <r>
          <rPr>
            <b/>
            <sz val="8"/>
            <color indexed="12"/>
            <rFont val="Tahoma"/>
            <family val="2"/>
          </rPr>
          <t>25H36</t>
        </r>
        <r>
          <rPr>
            <sz val="8"/>
            <color indexed="81"/>
            <rFont val="Tahoma"/>
            <family val="2"/>
          </rPr>
          <t xml:space="preserve">
5 jours :  </t>
        </r>
        <r>
          <rPr>
            <b/>
            <sz val="8"/>
            <color indexed="12"/>
            <rFont val="Tahoma"/>
            <family val="2"/>
          </rPr>
          <t>32H00</t>
        </r>
        <r>
          <rPr>
            <sz val="8"/>
            <color indexed="81"/>
            <rFont val="Tahoma"/>
            <family val="2"/>
          </rPr>
          <t xml:space="preserve">
</t>
        </r>
        <r>
          <rPr>
            <b/>
            <sz val="8"/>
            <color indexed="17"/>
            <rFont val="Tahoma"/>
            <family val="2"/>
          </rPr>
          <t xml:space="preserve">CES : </t>
        </r>
        <r>
          <rPr>
            <sz val="8"/>
            <color indexed="81"/>
            <rFont val="Tahoma"/>
            <family val="2"/>
          </rPr>
          <t xml:space="preserve">20 H / 4H par jour
</t>
        </r>
      </text>
    </comment>
    <comment ref="BJ21" authorId="0" shapeId="0" xr:uid="{B803AC6A-B773-4776-BCED-40084735B7FE}">
      <text>
        <r>
          <rPr>
            <b/>
            <sz val="8"/>
            <color indexed="81"/>
            <rFont val="Tahoma"/>
            <family val="2"/>
          </rPr>
          <t>Accident de Travail</t>
        </r>
        <r>
          <rPr>
            <sz val="8"/>
            <color indexed="81"/>
            <rFont val="Tahoma"/>
            <family val="2"/>
          </rPr>
          <t xml:space="preserve">
</t>
        </r>
      </text>
    </comment>
    <comment ref="BJ22" authorId="1" shapeId="0" xr:uid="{774BB0CF-E956-456A-BC6F-2763E3980151}">
      <text>
        <r>
          <rPr>
            <b/>
            <sz val="8"/>
            <color indexed="81"/>
            <rFont val="Tahoma"/>
            <family val="2"/>
          </rPr>
          <t xml:space="preserve">Absences Diverses
</t>
        </r>
        <r>
          <rPr>
            <sz val="8"/>
            <color indexed="81"/>
            <rFont val="Tahoma"/>
            <family val="2"/>
          </rPr>
          <t>Pour remplir rapidement et provisoirement les plannings en attendant d'avoir plus de temps pour afficher les précisions</t>
        </r>
        <r>
          <rPr>
            <sz val="8"/>
            <color indexed="81"/>
            <rFont val="Tahoma"/>
            <family val="2"/>
          </rPr>
          <t xml:space="preserve">
</t>
        </r>
      </text>
    </comment>
    <comment ref="BR22" authorId="0" shapeId="0" xr:uid="{E2083A8C-0527-4FD8-9ACA-3145D8C8187B}">
      <text>
        <r>
          <rPr>
            <b/>
            <sz val="8"/>
            <color indexed="81"/>
            <rFont val="Tahoma"/>
            <family val="2"/>
          </rPr>
          <t>Travaille ou Absent?</t>
        </r>
        <r>
          <rPr>
            <sz val="8"/>
            <color indexed="81"/>
            <rFont val="Tahoma"/>
            <family val="2"/>
          </rPr>
          <t xml:space="preserve">
</t>
        </r>
      </text>
    </comment>
    <comment ref="BJ23" authorId="1" shapeId="0" xr:uid="{A5F38F42-D39D-41E3-B748-51F858D75A67}">
      <text>
        <r>
          <rPr>
            <b/>
            <sz val="8"/>
            <color indexed="81"/>
            <rFont val="Tahoma"/>
            <family val="2"/>
          </rPr>
          <t>*:Demande de congés non prévus
OU 
Prévus MAIS à valider avec les contremaîtres et l'équipe</t>
        </r>
        <r>
          <rPr>
            <sz val="8"/>
            <color indexed="81"/>
            <rFont val="Tahoma"/>
            <family val="2"/>
          </rPr>
          <t xml:space="preserve">
</t>
        </r>
      </text>
    </comment>
    <comment ref="BR26" authorId="2" shapeId="0" xr:uid="{2007A995-D9A3-457E-9066-23A36FF56E54}">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26" authorId="2" shapeId="0" xr:uid="{CC3EE546-FC33-4EE6-BDA2-9360E956DE1F}">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27" authorId="2" shapeId="0" xr:uid="{363DFC38-B8D8-4402-A380-B1648B17EA03}">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27" authorId="2" shapeId="0" xr:uid="{8FCF26A8-0C82-491D-BB2A-5DC1E238568C}">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28" authorId="2" shapeId="0" xr:uid="{4EF09E5F-CE9F-4CF2-A93E-3373578582D5}">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28" authorId="2" shapeId="0" xr:uid="{E89D2727-1696-4CBB-890A-7BF62FA89FDA}">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29" authorId="2" shapeId="0" xr:uid="{5A731D55-2C40-4478-B207-2C9C36BD52EC}">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29" authorId="2" shapeId="0" xr:uid="{67782317-5992-420B-A358-01A48CA0B2B1}">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0" authorId="2" shapeId="0" xr:uid="{EDFF62EA-5D78-4AB6-887F-4EF857AB821D}">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0" authorId="2" shapeId="0" xr:uid="{420340FF-8BAF-4D61-B4F0-0A19815B9B76}">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1" authorId="2" shapeId="0" xr:uid="{CC4B844C-A505-40A6-822D-5F3DABAA9032}">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1" authorId="2" shapeId="0" xr:uid="{3FCD5059-D2B6-4FA7-B2E8-2957D5C70554}">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2" authorId="2" shapeId="0" xr:uid="{877E2A87-7E46-494D-85DE-7F30B1471572}">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2" authorId="2" shapeId="0" xr:uid="{A52ECB64-7ADE-433A-8F19-43612E112094}">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3" authorId="2" shapeId="0" xr:uid="{BE81318A-01D8-431A-8B4D-F83D6A0ECB6C}">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3" authorId="2" shapeId="0" xr:uid="{0AA468A5-32E2-4898-B722-8EE513972489}">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4" authorId="2" shapeId="0" xr:uid="{AABACFD5-88C5-4AEF-B7DB-901A0A42FFFB}">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4" authorId="2" shapeId="0" xr:uid="{19CB6011-DE9B-4F63-A1EE-0D3A84A09538}">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5" authorId="2" shapeId="0" xr:uid="{51511C4A-5836-4178-86C8-CE488247B02C}">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5" authorId="2" shapeId="0" xr:uid="{58BF8C14-3813-4058-950F-9E2F1FC41585}">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6" authorId="2" shapeId="0" xr:uid="{A3D6A2CD-0238-4725-9CF3-2DB77A4D249A}">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6" authorId="2" shapeId="0" xr:uid="{03A6763B-3E52-474A-ADEC-3F51BD9D00A1}">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7" authorId="2" shapeId="0" xr:uid="{2D7BA253-C9D8-41E0-BEEA-E49E5DC0BFA3}">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7" authorId="2" shapeId="0" xr:uid="{978F7EC0-3E0F-41C6-B981-F248B7B06553}">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8" authorId="2" shapeId="0" xr:uid="{3C4727E7-0E4C-4451-A0EB-D6943F112863}">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8" authorId="2" shapeId="0" xr:uid="{AA1784B4-DF0F-4EF3-96E3-7F51AC299485}">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39" authorId="2" shapeId="0" xr:uid="{E21013ED-8AEE-4671-9C8B-55584C73ACD1}">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39" authorId="2" shapeId="0" xr:uid="{44C4C178-B2E7-43DC-89D0-37666C2659CE}">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40" authorId="2" shapeId="0" xr:uid="{CE6D863D-E4A2-49CB-BCD5-C7353221819B}">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40" authorId="2" shapeId="0" xr:uid="{12EB5FA8-FD98-41EF-AF42-A3C1B89A18CB}">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41" authorId="2" shapeId="0" xr:uid="{5229E717-816C-4EC7-8A8F-B22CB5ECA405}">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41" authorId="2" shapeId="0" xr:uid="{2863E170-CDA8-43D2-9F5D-D7AB562A2E74}">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R42" authorId="2" shapeId="0" xr:uid="{4A219408-6F24-4110-98C5-40633032D613}">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S42" authorId="2" shapeId="0" xr:uid="{220247AB-D25B-44D2-95AA-0C7965398BD5}">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Chef de production</author>
    <author>*</author>
    <author>Leboucher.joel@wanadoo.fr</author>
  </authors>
  <commentList>
    <comment ref="BS9" authorId="0" shapeId="0" xr:uid="{957068AA-118F-43AB-86FA-2758529D18B0}">
      <text>
        <r>
          <rPr>
            <b/>
            <sz val="10"/>
            <color indexed="81"/>
            <rFont val="Tahoma"/>
            <family val="2"/>
          </rPr>
          <t>ATTENTION
Reprise des livraisons écoles</t>
        </r>
        <r>
          <rPr>
            <b/>
            <sz val="8"/>
            <color indexed="81"/>
            <rFont val="Tahoma"/>
            <family val="2"/>
          </rPr>
          <t xml:space="preserve">
</t>
        </r>
        <r>
          <rPr>
            <sz val="8"/>
            <color indexed="81"/>
            <rFont val="Tahoma"/>
            <family val="2"/>
          </rPr>
          <t xml:space="preserve">
</t>
        </r>
      </text>
    </comment>
    <comment ref="BS10" authorId="1" shapeId="0" xr:uid="{A54719FC-D599-404C-BD42-5253C9B50066}">
      <text>
        <r>
          <rPr>
            <b/>
            <sz val="8"/>
            <color indexed="81"/>
            <rFont val="Tahoma"/>
            <family val="2"/>
          </rPr>
          <t>*:Vacances Scolaires</t>
        </r>
        <r>
          <rPr>
            <sz val="8"/>
            <color indexed="81"/>
            <rFont val="Tahoma"/>
            <family val="2"/>
          </rPr>
          <t xml:space="preserve">
Effectifs en baisse .
Moins de chauffeurs</t>
        </r>
      </text>
    </comment>
    <comment ref="BS11" authorId="0" shapeId="0" xr:uid="{F01D94A5-F4F1-47C1-ABB4-BD2F6002F33B}">
      <text>
        <r>
          <rPr>
            <b/>
            <sz val="8"/>
            <color indexed="81"/>
            <rFont val="Tahoma"/>
            <family val="2"/>
          </rPr>
          <t xml:space="preserve">*:Jour Férié
</t>
        </r>
        <r>
          <rPr>
            <sz val="8"/>
            <color indexed="81"/>
            <rFont val="Tahoma"/>
            <family val="2"/>
          </rPr>
          <t>Attention aux livraisons
et dates de fabrication
Moins de chauffeurs:</t>
        </r>
        <r>
          <rPr>
            <sz val="8"/>
            <color indexed="81"/>
            <rFont val="Tahoma"/>
            <family val="2"/>
          </rPr>
          <t xml:space="preserve">
</t>
        </r>
      </text>
    </comment>
    <comment ref="BK16" authorId="1" shapeId="0" xr:uid="{A14C4982-AC82-4D05-A9E9-0D0BAF8809B9}">
      <text>
        <r>
          <rPr>
            <b/>
            <sz val="8"/>
            <color indexed="81"/>
            <rFont val="Tahoma"/>
            <family val="2"/>
          </rPr>
          <t>*:Congés Annuels</t>
        </r>
        <r>
          <rPr>
            <sz val="8"/>
            <color indexed="81"/>
            <rFont val="Tahoma"/>
            <family val="2"/>
          </rPr>
          <t xml:space="preserve">
HORS SAISON</t>
        </r>
      </text>
    </comment>
    <comment ref="BS19" authorId="0" shapeId="0" xr:uid="{1391F2AB-1D31-4110-9BD3-B0B6CE13C40E}">
      <text>
        <r>
          <rPr>
            <b/>
            <sz val="8"/>
            <color indexed="81"/>
            <rFont val="Tahoma"/>
            <family val="2"/>
          </rPr>
          <t xml:space="preserve">A TRAVAILLÉ CE JOUR LA
</t>
        </r>
        <r>
          <rPr>
            <b/>
            <sz val="10"/>
            <color indexed="10"/>
            <rFont val="Tahoma"/>
            <family val="2"/>
          </rPr>
          <t xml:space="preserve">T </t>
        </r>
        <r>
          <rPr>
            <b/>
            <sz val="8"/>
            <color indexed="81"/>
            <rFont val="Tahoma"/>
            <family val="2"/>
          </rPr>
          <t xml:space="preserve">ou </t>
        </r>
        <r>
          <rPr>
            <b/>
            <sz val="10"/>
            <color indexed="10"/>
            <rFont val="Tahoma"/>
            <family val="2"/>
          </rPr>
          <t>1</t>
        </r>
        <r>
          <rPr>
            <b/>
            <sz val="8"/>
            <color indexed="81"/>
            <rFont val="Tahoma"/>
            <family val="2"/>
          </rPr>
          <t xml:space="preserve">
</t>
        </r>
        <r>
          <rPr>
            <b/>
            <sz val="8"/>
            <color indexed="10"/>
            <rFont val="Tahoma"/>
            <family val="2"/>
          </rPr>
          <t>TITULAIRE</t>
        </r>
        <r>
          <rPr>
            <sz val="8"/>
            <color indexed="12"/>
            <rFont val="Tahoma"/>
            <family val="2"/>
          </rPr>
          <t>:</t>
        </r>
        <r>
          <rPr>
            <sz val="8"/>
            <color indexed="81"/>
            <rFont val="Tahoma"/>
            <family val="2"/>
          </rPr>
          <t xml:space="preserve"> 35 H  par semaine / 7H00 par jour
mais fait des journées de 8H
</t>
        </r>
        <r>
          <rPr>
            <b/>
            <sz val="8"/>
            <color indexed="12"/>
            <rFont val="Tahoma"/>
            <family val="2"/>
          </rPr>
          <t>CEC : 32 H / 6H 24 par jour</t>
        </r>
        <r>
          <rPr>
            <sz val="8"/>
            <color indexed="81"/>
            <rFont val="Tahoma"/>
            <family val="2"/>
          </rPr>
          <t xml:space="preserve">
1 jour :      </t>
        </r>
        <r>
          <rPr>
            <b/>
            <sz val="8"/>
            <color indexed="12"/>
            <rFont val="Tahoma"/>
            <family val="2"/>
          </rPr>
          <t>6H24</t>
        </r>
        <r>
          <rPr>
            <sz val="8"/>
            <color indexed="81"/>
            <rFont val="Tahoma"/>
            <family val="2"/>
          </rPr>
          <t xml:space="preserve">
2jours :   </t>
        </r>
        <r>
          <rPr>
            <b/>
            <sz val="8"/>
            <color indexed="12"/>
            <rFont val="Tahoma"/>
            <family val="2"/>
          </rPr>
          <t>12H48</t>
        </r>
        <r>
          <rPr>
            <sz val="8"/>
            <color indexed="81"/>
            <rFont val="Tahoma"/>
            <family val="2"/>
          </rPr>
          <t xml:space="preserve">
3 jours :  </t>
        </r>
        <r>
          <rPr>
            <b/>
            <sz val="8"/>
            <color indexed="12"/>
            <rFont val="Tahoma"/>
            <family val="2"/>
          </rPr>
          <t>19H12</t>
        </r>
        <r>
          <rPr>
            <sz val="8"/>
            <color indexed="81"/>
            <rFont val="Tahoma"/>
            <family val="2"/>
          </rPr>
          <t xml:space="preserve">
4 jours :  </t>
        </r>
        <r>
          <rPr>
            <b/>
            <sz val="8"/>
            <color indexed="12"/>
            <rFont val="Tahoma"/>
            <family val="2"/>
          </rPr>
          <t>25H36</t>
        </r>
        <r>
          <rPr>
            <sz val="8"/>
            <color indexed="81"/>
            <rFont val="Tahoma"/>
            <family val="2"/>
          </rPr>
          <t xml:space="preserve">
5 jours :  </t>
        </r>
        <r>
          <rPr>
            <b/>
            <sz val="8"/>
            <color indexed="12"/>
            <rFont val="Tahoma"/>
            <family val="2"/>
          </rPr>
          <t>32H00</t>
        </r>
        <r>
          <rPr>
            <sz val="8"/>
            <color indexed="81"/>
            <rFont val="Tahoma"/>
            <family val="2"/>
          </rPr>
          <t xml:space="preserve">
</t>
        </r>
        <r>
          <rPr>
            <b/>
            <sz val="8"/>
            <color indexed="17"/>
            <rFont val="Tahoma"/>
            <family val="2"/>
          </rPr>
          <t xml:space="preserve">CES : </t>
        </r>
        <r>
          <rPr>
            <sz val="8"/>
            <color indexed="81"/>
            <rFont val="Tahoma"/>
            <family val="2"/>
          </rPr>
          <t xml:space="preserve">20 H / 4H par jour
</t>
        </r>
      </text>
    </comment>
    <comment ref="BK21" authorId="0" shapeId="0" xr:uid="{93234D15-D4E4-4AA3-9FA1-0DEFCFE38A56}">
      <text>
        <r>
          <rPr>
            <b/>
            <sz val="8"/>
            <color indexed="81"/>
            <rFont val="Tahoma"/>
            <family val="2"/>
          </rPr>
          <t>Accident de Travail</t>
        </r>
        <r>
          <rPr>
            <sz val="8"/>
            <color indexed="81"/>
            <rFont val="Tahoma"/>
            <family val="2"/>
          </rPr>
          <t xml:space="preserve">
</t>
        </r>
      </text>
    </comment>
    <comment ref="BK22" authorId="1" shapeId="0" xr:uid="{0DDD5C70-9816-4875-AB83-48AF79E5FEDC}">
      <text>
        <r>
          <rPr>
            <b/>
            <sz val="8"/>
            <color indexed="81"/>
            <rFont val="Tahoma"/>
            <family val="2"/>
          </rPr>
          <t xml:space="preserve">Absences Diverses
</t>
        </r>
        <r>
          <rPr>
            <sz val="8"/>
            <color indexed="81"/>
            <rFont val="Tahoma"/>
            <family val="2"/>
          </rPr>
          <t>Pour remplir rapidement et provisoirement les plannings en attendant d'avoir plus de temps pour afficher les précisions</t>
        </r>
        <r>
          <rPr>
            <sz val="8"/>
            <color indexed="81"/>
            <rFont val="Tahoma"/>
            <family val="2"/>
          </rPr>
          <t xml:space="preserve">
</t>
        </r>
      </text>
    </comment>
    <comment ref="BS22" authorId="0" shapeId="0" xr:uid="{9C7E8DE1-8B67-4A86-BCAD-D8E959BE3791}">
      <text>
        <r>
          <rPr>
            <b/>
            <sz val="8"/>
            <color indexed="81"/>
            <rFont val="Tahoma"/>
            <family val="2"/>
          </rPr>
          <t>Travaille ou Absent?</t>
        </r>
        <r>
          <rPr>
            <sz val="8"/>
            <color indexed="81"/>
            <rFont val="Tahoma"/>
            <family val="2"/>
          </rPr>
          <t xml:space="preserve">
</t>
        </r>
      </text>
    </comment>
    <comment ref="BK23" authorId="1" shapeId="0" xr:uid="{639D776E-9E22-4154-85CE-BB979B12B406}">
      <text>
        <r>
          <rPr>
            <b/>
            <sz val="8"/>
            <color indexed="81"/>
            <rFont val="Tahoma"/>
            <family val="2"/>
          </rPr>
          <t>*:Demande de congés non prévus
OU 
Prévus MAIS à valider avec les contremaîtres et l'équipe</t>
        </r>
        <r>
          <rPr>
            <sz val="8"/>
            <color indexed="81"/>
            <rFont val="Tahoma"/>
            <family val="2"/>
          </rPr>
          <t xml:space="preserve">
</t>
        </r>
      </text>
    </comment>
    <comment ref="BS26" authorId="2" shapeId="0" xr:uid="{6C480885-31AD-432F-A6D7-38E177FDD25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26" authorId="2" shapeId="0" xr:uid="{A8D3F51A-9EF9-4130-86AF-510DA8176F5F}">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27" authorId="2" shapeId="0" xr:uid="{EFD69639-2921-4356-B9FE-AECF7FA293CF}">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27" authorId="2" shapeId="0" xr:uid="{BDD1C871-733F-4057-BFF4-D0D3B93A76B8}">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28" authorId="2" shapeId="0" xr:uid="{DB13A582-8D1A-48D3-8433-269A42F9D888}">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28" authorId="2" shapeId="0" xr:uid="{70A8E382-1FBB-454B-A2DE-8AA7E50FCD65}">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29" authorId="2" shapeId="0" xr:uid="{85EE8E6E-F8C6-4F7D-804D-4C71A6E401A2}">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29" authorId="2" shapeId="0" xr:uid="{71FE4518-31BD-46E6-908D-D274D5E26CA1}">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0" authorId="2" shapeId="0" xr:uid="{D5FD6CBD-2B39-4785-97BD-BC21F621519D}">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0" authorId="2" shapeId="0" xr:uid="{3ADF48E3-DDDD-43C9-B40A-4D84AAF0AA9C}">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1" authorId="2" shapeId="0" xr:uid="{AC22F8EC-30A1-4D3B-B8A3-310F2C793194}">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1" authorId="2" shapeId="0" xr:uid="{0E38AC02-F800-4AFE-9733-B9921BBB4918}">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2" authorId="2" shapeId="0" xr:uid="{CF07DAE3-F86F-4A99-A669-B7DA57FDCF3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2" authorId="2" shapeId="0" xr:uid="{3B4737FB-1562-49DF-83F4-F45A11DC7AD9}">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3" authorId="2" shapeId="0" xr:uid="{7DB95ACD-113E-420D-9D3E-46FF08610E25}">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3" authorId="2" shapeId="0" xr:uid="{C8069FCB-CE8B-4D77-A27F-50E31007521F}">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4" authorId="2" shapeId="0" xr:uid="{CC499720-0918-4ABD-9366-1CE7AADD65F8}">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4" authorId="2" shapeId="0" xr:uid="{3DC1627F-80EE-4316-9272-CBFF03EE9975}">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5" authorId="2" shapeId="0" xr:uid="{3482F6C3-47A4-4123-AC7B-5D04028D2959}">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5" authorId="2" shapeId="0" xr:uid="{6D45E516-5D1C-4C0E-BC56-EC9E9778C154}">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6" authorId="2" shapeId="0" xr:uid="{A2A3685A-DD45-47C9-B6BB-BDD500521DCD}">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6" authorId="2" shapeId="0" xr:uid="{923415B3-73B8-4E22-8F2E-5A6DACFF04EC}">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7" authorId="2" shapeId="0" xr:uid="{326C2E88-59F0-48DB-92A3-564A15A65BFB}">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7" authorId="2" shapeId="0" xr:uid="{E5AD76FF-5967-476D-97C0-E61AB26C08EA}">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8" authorId="2" shapeId="0" xr:uid="{14D5ED33-ADF8-4DF1-8D14-FD53C23BD9C9}">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8" authorId="2" shapeId="0" xr:uid="{D0EFB770-7059-4D72-8C39-A28BFF698167}">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9" authorId="2" shapeId="0" xr:uid="{62384E6E-EC21-497B-8544-991F3EB123C1}">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9" authorId="2" shapeId="0" xr:uid="{4B1F0E65-8992-4556-B900-770D26A0CBC5}">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40" authorId="2" shapeId="0" xr:uid="{559E1403-8E55-4BC2-B61A-89B265C77E7C}">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40" authorId="2" shapeId="0" xr:uid="{C3AC92DD-3815-4EF9-9A7B-ABBDD9C0241E}">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41" authorId="2" shapeId="0" xr:uid="{36249478-0610-402E-8A4B-1219B3BE4DB2}">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41" authorId="2" shapeId="0" xr:uid="{9DEB34B4-BB41-4188-96B4-E800CDB9CB0B}">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42" authorId="2" shapeId="0" xr:uid="{FAF7926A-F34A-428A-819A-C2DD6E3EA8B4}">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42" authorId="2" shapeId="0" xr:uid="{71A63F62-A631-42C7-B8D2-10B5F73590D5}">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Chef de production</author>
    <author>*</author>
    <author>Leboucher.joel@wanadoo.fr</author>
  </authors>
  <commentList>
    <comment ref="BS9" authorId="0" shapeId="0" xr:uid="{CBFE0A19-57E7-4823-97AF-86419DE2250C}">
      <text>
        <r>
          <rPr>
            <b/>
            <sz val="10"/>
            <color indexed="81"/>
            <rFont val="Tahoma"/>
            <family val="2"/>
          </rPr>
          <t>ATTENTION
Reprise des livraisons écoles</t>
        </r>
        <r>
          <rPr>
            <b/>
            <sz val="8"/>
            <color indexed="81"/>
            <rFont val="Tahoma"/>
            <family val="2"/>
          </rPr>
          <t xml:space="preserve">
</t>
        </r>
        <r>
          <rPr>
            <sz val="8"/>
            <color indexed="81"/>
            <rFont val="Tahoma"/>
            <family val="2"/>
          </rPr>
          <t xml:space="preserve">
</t>
        </r>
      </text>
    </comment>
    <comment ref="BS10" authorId="1" shapeId="0" xr:uid="{33718969-3040-4A56-B988-21E85C90334C}">
      <text>
        <r>
          <rPr>
            <b/>
            <sz val="8"/>
            <color indexed="81"/>
            <rFont val="Tahoma"/>
            <family val="2"/>
          </rPr>
          <t>*:Vacances Scolaires</t>
        </r>
        <r>
          <rPr>
            <sz val="8"/>
            <color indexed="81"/>
            <rFont val="Tahoma"/>
            <family val="2"/>
          </rPr>
          <t xml:space="preserve">
Effectifs en baisse .
Moins de chauffeurs</t>
        </r>
      </text>
    </comment>
    <comment ref="BS11" authorId="0" shapeId="0" xr:uid="{61E1F0AE-E939-4052-95CC-3D6A2B1215D4}">
      <text>
        <r>
          <rPr>
            <b/>
            <sz val="8"/>
            <color indexed="81"/>
            <rFont val="Tahoma"/>
            <family val="2"/>
          </rPr>
          <t xml:space="preserve">*:Jour Férié
</t>
        </r>
        <r>
          <rPr>
            <sz val="8"/>
            <color indexed="81"/>
            <rFont val="Tahoma"/>
            <family val="2"/>
          </rPr>
          <t>Attention aux livraisons
et dates de fabrication
Moins de chauffeurs:</t>
        </r>
        <r>
          <rPr>
            <sz val="8"/>
            <color indexed="81"/>
            <rFont val="Tahoma"/>
            <family val="2"/>
          </rPr>
          <t xml:space="preserve">
</t>
        </r>
      </text>
    </comment>
    <comment ref="BK16" authorId="1" shapeId="0" xr:uid="{AD181297-D20B-4F74-B4DE-A8272158BC1A}">
      <text>
        <r>
          <rPr>
            <b/>
            <sz val="8"/>
            <color indexed="81"/>
            <rFont val="Tahoma"/>
            <family val="2"/>
          </rPr>
          <t>*:Congés Annuels</t>
        </r>
        <r>
          <rPr>
            <sz val="8"/>
            <color indexed="81"/>
            <rFont val="Tahoma"/>
            <family val="2"/>
          </rPr>
          <t xml:space="preserve">
HORS SAISON</t>
        </r>
      </text>
    </comment>
    <comment ref="BS19" authorId="0" shapeId="0" xr:uid="{547E971E-AE02-4A1C-8E29-2BAF24AACA63}">
      <text>
        <r>
          <rPr>
            <b/>
            <sz val="8"/>
            <color indexed="81"/>
            <rFont val="Tahoma"/>
            <family val="2"/>
          </rPr>
          <t xml:space="preserve">A TRAVAILLÉ CE JOUR LA
</t>
        </r>
        <r>
          <rPr>
            <b/>
            <sz val="10"/>
            <color indexed="10"/>
            <rFont val="Tahoma"/>
            <family val="2"/>
          </rPr>
          <t xml:space="preserve">T </t>
        </r>
        <r>
          <rPr>
            <b/>
            <sz val="8"/>
            <color indexed="81"/>
            <rFont val="Tahoma"/>
            <family val="2"/>
          </rPr>
          <t xml:space="preserve">ou </t>
        </r>
        <r>
          <rPr>
            <b/>
            <sz val="10"/>
            <color indexed="10"/>
            <rFont val="Tahoma"/>
            <family val="2"/>
          </rPr>
          <t>1</t>
        </r>
        <r>
          <rPr>
            <b/>
            <sz val="8"/>
            <color indexed="81"/>
            <rFont val="Tahoma"/>
            <family val="2"/>
          </rPr>
          <t xml:space="preserve">
</t>
        </r>
        <r>
          <rPr>
            <b/>
            <sz val="8"/>
            <color indexed="10"/>
            <rFont val="Tahoma"/>
            <family val="2"/>
          </rPr>
          <t>TITULAIRE</t>
        </r>
        <r>
          <rPr>
            <sz val="8"/>
            <color indexed="12"/>
            <rFont val="Tahoma"/>
            <family val="2"/>
          </rPr>
          <t>:</t>
        </r>
        <r>
          <rPr>
            <sz val="8"/>
            <color indexed="81"/>
            <rFont val="Tahoma"/>
            <family val="2"/>
          </rPr>
          <t xml:space="preserve"> 35 H  par semaine / 7H00 par jour
mais fait des journées de 8H
</t>
        </r>
        <r>
          <rPr>
            <b/>
            <sz val="8"/>
            <color indexed="12"/>
            <rFont val="Tahoma"/>
            <family val="2"/>
          </rPr>
          <t>CEC : 32 H / 6H 24 par jour</t>
        </r>
        <r>
          <rPr>
            <sz val="8"/>
            <color indexed="81"/>
            <rFont val="Tahoma"/>
            <family val="2"/>
          </rPr>
          <t xml:space="preserve">
1 jour :      </t>
        </r>
        <r>
          <rPr>
            <b/>
            <sz val="8"/>
            <color indexed="12"/>
            <rFont val="Tahoma"/>
            <family val="2"/>
          </rPr>
          <t>6H24</t>
        </r>
        <r>
          <rPr>
            <sz val="8"/>
            <color indexed="81"/>
            <rFont val="Tahoma"/>
            <family val="2"/>
          </rPr>
          <t xml:space="preserve">
2jours :   </t>
        </r>
        <r>
          <rPr>
            <b/>
            <sz val="8"/>
            <color indexed="12"/>
            <rFont val="Tahoma"/>
            <family val="2"/>
          </rPr>
          <t>12H48</t>
        </r>
        <r>
          <rPr>
            <sz val="8"/>
            <color indexed="81"/>
            <rFont val="Tahoma"/>
            <family val="2"/>
          </rPr>
          <t xml:space="preserve">
3 jours :  </t>
        </r>
        <r>
          <rPr>
            <b/>
            <sz val="8"/>
            <color indexed="12"/>
            <rFont val="Tahoma"/>
            <family val="2"/>
          </rPr>
          <t>19H12</t>
        </r>
        <r>
          <rPr>
            <sz val="8"/>
            <color indexed="81"/>
            <rFont val="Tahoma"/>
            <family val="2"/>
          </rPr>
          <t xml:space="preserve">
4 jours :  </t>
        </r>
        <r>
          <rPr>
            <b/>
            <sz val="8"/>
            <color indexed="12"/>
            <rFont val="Tahoma"/>
            <family val="2"/>
          </rPr>
          <t>25H36</t>
        </r>
        <r>
          <rPr>
            <sz val="8"/>
            <color indexed="81"/>
            <rFont val="Tahoma"/>
            <family val="2"/>
          </rPr>
          <t xml:space="preserve">
5 jours :  </t>
        </r>
        <r>
          <rPr>
            <b/>
            <sz val="8"/>
            <color indexed="12"/>
            <rFont val="Tahoma"/>
            <family val="2"/>
          </rPr>
          <t>32H00</t>
        </r>
        <r>
          <rPr>
            <sz val="8"/>
            <color indexed="81"/>
            <rFont val="Tahoma"/>
            <family val="2"/>
          </rPr>
          <t xml:space="preserve">
</t>
        </r>
        <r>
          <rPr>
            <b/>
            <sz val="8"/>
            <color indexed="17"/>
            <rFont val="Tahoma"/>
            <family val="2"/>
          </rPr>
          <t xml:space="preserve">CES : </t>
        </r>
        <r>
          <rPr>
            <sz val="8"/>
            <color indexed="81"/>
            <rFont val="Tahoma"/>
            <family val="2"/>
          </rPr>
          <t xml:space="preserve">20 H / 4H par jour
</t>
        </r>
      </text>
    </comment>
    <comment ref="BK21" authorId="0" shapeId="0" xr:uid="{600EB46A-607B-4C56-91F7-9FC376E8260B}">
      <text>
        <r>
          <rPr>
            <b/>
            <sz val="8"/>
            <color indexed="81"/>
            <rFont val="Tahoma"/>
            <family val="2"/>
          </rPr>
          <t>Accident de Travail</t>
        </r>
        <r>
          <rPr>
            <sz val="8"/>
            <color indexed="81"/>
            <rFont val="Tahoma"/>
            <family val="2"/>
          </rPr>
          <t xml:space="preserve">
</t>
        </r>
      </text>
    </comment>
    <comment ref="BK22" authorId="1" shapeId="0" xr:uid="{06D8C18B-EB4E-41D7-8E3A-7F61B8FD692C}">
      <text>
        <r>
          <rPr>
            <b/>
            <sz val="8"/>
            <color indexed="81"/>
            <rFont val="Tahoma"/>
            <family val="2"/>
          </rPr>
          <t xml:space="preserve">Absences Diverses
</t>
        </r>
        <r>
          <rPr>
            <sz val="8"/>
            <color indexed="81"/>
            <rFont val="Tahoma"/>
            <family val="2"/>
          </rPr>
          <t>Pour remplir rapidement et provisoirement les plannings en attendant d'avoir plus de temps pour afficher les précisions</t>
        </r>
        <r>
          <rPr>
            <sz val="8"/>
            <color indexed="81"/>
            <rFont val="Tahoma"/>
            <family val="2"/>
          </rPr>
          <t xml:space="preserve">
</t>
        </r>
      </text>
    </comment>
    <comment ref="BS22" authorId="0" shapeId="0" xr:uid="{508AD441-478D-41D0-9F6C-213675A7218C}">
      <text>
        <r>
          <rPr>
            <b/>
            <sz val="8"/>
            <color indexed="81"/>
            <rFont val="Tahoma"/>
            <family val="2"/>
          </rPr>
          <t>Travaille ou Absent?</t>
        </r>
        <r>
          <rPr>
            <sz val="8"/>
            <color indexed="81"/>
            <rFont val="Tahoma"/>
            <family val="2"/>
          </rPr>
          <t xml:space="preserve">
</t>
        </r>
      </text>
    </comment>
    <comment ref="BK23" authorId="1" shapeId="0" xr:uid="{9F733B60-71D5-4371-831C-75B423BA15A7}">
      <text>
        <r>
          <rPr>
            <b/>
            <sz val="8"/>
            <color indexed="81"/>
            <rFont val="Tahoma"/>
            <family val="2"/>
          </rPr>
          <t>*:Demande de congés non prévus
OU 
Prévus MAIS à valider avec les contremaîtres et l'équipe</t>
        </r>
        <r>
          <rPr>
            <sz val="8"/>
            <color indexed="81"/>
            <rFont val="Tahoma"/>
            <family val="2"/>
          </rPr>
          <t xml:space="preserve">
</t>
        </r>
      </text>
    </comment>
    <comment ref="BS26" authorId="2" shapeId="0" xr:uid="{4647ECF8-E5C0-4C36-8858-0A85E9BA3879}">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26" authorId="2" shapeId="0" xr:uid="{841DA890-0A33-49D6-A4F3-8B4A85D6AF85}">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27" authorId="2" shapeId="0" xr:uid="{33452237-EDB8-4284-9A91-86106260EE2E}">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27" authorId="2" shapeId="0" xr:uid="{E649E02E-D5B6-4234-A0A5-9DB264BEAE0B}">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28" authorId="2" shapeId="0" xr:uid="{23D787E9-C239-4363-8FE2-BF865BC1A61D}">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28" authorId="2" shapeId="0" xr:uid="{5F5ECD61-28EE-4415-A20A-7CE23F8245BC}">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29" authorId="2" shapeId="0" xr:uid="{C73A729B-4122-416B-BB0E-05310A36D3FB}">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29" authorId="2" shapeId="0" xr:uid="{6B39FFE1-7EF0-4C21-BD39-C2B5DE6176BC}">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0" authorId="2" shapeId="0" xr:uid="{4535270B-9FB0-4C18-9DB3-479AB2070910}">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0" authorId="2" shapeId="0" xr:uid="{A31A6828-215E-4A98-A894-E7231105D4CD}">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1" authorId="2" shapeId="0" xr:uid="{1F93D4A1-CE86-4845-9FE5-7278D015333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1" authorId="2" shapeId="0" xr:uid="{49D4CB5A-8495-4EF8-8F6C-1A469519826F}">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2" authorId="2" shapeId="0" xr:uid="{98FB8310-DB93-46F4-881F-7F4E290FADFD}">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2" authorId="2" shapeId="0" xr:uid="{9208EB07-5FC0-478F-957F-69A6419B4E75}">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3" authorId="2" shapeId="0" xr:uid="{AD8948B4-04F8-48CB-A03D-D205FCB6B3FB}">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3" authorId="2" shapeId="0" xr:uid="{5A0C4B41-DF59-42B9-BA40-590C7E4AF616}">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4" authorId="2" shapeId="0" xr:uid="{44CF41AE-D1BA-4A40-8BE6-B3FEFC092919}">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4" authorId="2" shapeId="0" xr:uid="{0E427CA1-9FFA-47EB-B4B4-1315FF29E31E}">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5" authorId="2" shapeId="0" xr:uid="{40A8CC0D-15EE-4131-A1FC-BADC970445A8}">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5" authorId="2" shapeId="0" xr:uid="{41B40C50-C47F-4E62-B430-2A49AD3F6BEE}">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6" authorId="2" shapeId="0" xr:uid="{88FED038-2479-4F1C-A06F-58A86B2A7753}">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6" authorId="2" shapeId="0" xr:uid="{DBC70CDA-10DF-4CFA-A191-04A154B65961}">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7" authorId="2" shapeId="0" xr:uid="{80D646D6-E29C-4CE8-BD0E-90C5F55F2AAE}">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7" authorId="2" shapeId="0" xr:uid="{2E798EED-1091-4D22-B3F6-29B16567F78A}">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8" authorId="2" shapeId="0" xr:uid="{DFC2A988-2F59-47E6-80AF-6B20953A06D9}">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8" authorId="2" shapeId="0" xr:uid="{55268781-6963-4106-BC47-1D2D2F6CA2FE}">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39" authorId="2" shapeId="0" xr:uid="{30C85398-D6EE-4F11-87C5-DF8C3C97CC2F}">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39" authorId="2" shapeId="0" xr:uid="{98F588A6-DA2E-48AF-A4D2-7362DE2CB9BE}">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40" authorId="2" shapeId="0" xr:uid="{9D9989D1-3A4B-491D-A26D-93794365DA4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40" authorId="2" shapeId="0" xr:uid="{FF69C10B-07B4-4431-8943-3BC0095740EC}">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41" authorId="2" shapeId="0" xr:uid="{67BD0C8E-BF4E-4619-8A8A-0D666AA64B30}">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41" authorId="2" shapeId="0" xr:uid="{2CCBE916-33D9-495E-89BC-0AA7765704B3}">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BS42" authorId="2" shapeId="0" xr:uid="{3CF98F58-FA79-40EA-AFA0-6FE54C20C340}">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BT42" authorId="2" shapeId="0" xr:uid="{17B8E906-10E8-4D30-B264-07B1F285D1BB}">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Chef de production</author>
    <author>*</author>
    <author>Leboucher.joel@wanadoo.fr</author>
  </authors>
  <commentList>
    <comment ref="AA11" authorId="0" shapeId="0" xr:uid="{ED0B35EF-9026-47A6-86B5-7AA41AEB4531}">
      <text>
        <r>
          <rPr>
            <sz val="12"/>
            <color indexed="53"/>
            <rFont val="Tahoma"/>
            <family val="2"/>
          </rPr>
          <t>Congés Annuels</t>
        </r>
        <r>
          <rPr>
            <sz val="8"/>
            <color indexed="81"/>
            <rFont val="Tahoma"/>
            <family val="2"/>
          </rPr>
          <t xml:space="preserve">
</t>
        </r>
      </text>
    </comment>
    <comment ref="AB11" authorId="1" shapeId="0" xr:uid="{69700717-70ED-491D-BF4D-AC526EDAEB89}">
      <text>
        <r>
          <rPr>
            <sz val="12"/>
            <color indexed="53"/>
            <rFont val="Tahoma"/>
            <family val="2"/>
          </rPr>
          <t>RECUPERATION
des dépassements horaires</t>
        </r>
        <r>
          <rPr>
            <b/>
            <sz val="8"/>
            <color indexed="81"/>
            <rFont val="Tahoma"/>
            <family val="2"/>
          </rPr>
          <t xml:space="preserve">
</t>
        </r>
        <r>
          <rPr>
            <sz val="8"/>
            <color indexed="81"/>
            <rFont val="Tahoma"/>
            <family val="2"/>
          </rPr>
          <t xml:space="preserve">
</t>
        </r>
      </text>
    </comment>
    <comment ref="AC11" authorId="1" shapeId="0" xr:uid="{3473327F-3FE4-4224-90DC-0E30B5678E57}">
      <text>
        <r>
          <rPr>
            <sz val="12"/>
            <color indexed="53"/>
            <rFont val="Tahoma"/>
            <family val="2"/>
          </rPr>
          <t>Absence Autorisée Payée</t>
        </r>
        <r>
          <rPr>
            <b/>
            <sz val="8"/>
            <color indexed="81"/>
            <rFont val="Tahoma"/>
            <family val="2"/>
          </rPr>
          <t xml:space="preserve">
</t>
        </r>
        <r>
          <rPr>
            <sz val="8"/>
            <color indexed="81"/>
            <rFont val="Tahoma"/>
            <family val="2"/>
          </rPr>
          <t xml:space="preserve">
</t>
        </r>
      </text>
    </comment>
    <comment ref="AD11" authorId="1" shapeId="0" xr:uid="{25BB349A-3533-4356-AF7D-FF00249AB425}">
      <text>
        <r>
          <rPr>
            <sz val="12"/>
            <color indexed="53"/>
            <rFont val="Tahoma"/>
            <family val="2"/>
          </rPr>
          <t>*:Arrêt Maladie</t>
        </r>
        <r>
          <rPr>
            <sz val="8"/>
            <color indexed="81"/>
            <rFont val="Tahoma"/>
            <family val="2"/>
          </rPr>
          <t xml:space="preserve">
</t>
        </r>
      </text>
    </comment>
    <comment ref="AE11" authorId="0" shapeId="0" xr:uid="{724459D1-E6BB-4A9F-AACB-E08C4F3089CA}">
      <text>
        <r>
          <rPr>
            <b/>
            <sz val="8"/>
            <color indexed="81"/>
            <rFont val="Tahoma"/>
            <family val="2"/>
          </rPr>
          <t>Réduction de temps de Travail</t>
        </r>
        <r>
          <rPr>
            <sz val="8"/>
            <color indexed="81"/>
            <rFont val="Tahoma"/>
            <family val="2"/>
          </rPr>
          <t xml:space="preserve">
</t>
        </r>
      </text>
    </comment>
    <comment ref="CH13" authorId="0" shapeId="0" xr:uid="{7443B1D3-6910-4A50-A75A-37B46BCE5CCA}">
      <text>
        <r>
          <rPr>
            <b/>
            <sz val="10"/>
            <color indexed="81"/>
            <rFont val="Tahoma"/>
            <family val="2"/>
          </rPr>
          <t>ATTENTION
Reprise des livraisons écoles</t>
        </r>
        <r>
          <rPr>
            <b/>
            <sz val="8"/>
            <color indexed="81"/>
            <rFont val="Tahoma"/>
            <family val="2"/>
          </rPr>
          <t xml:space="preserve">
</t>
        </r>
        <r>
          <rPr>
            <sz val="8"/>
            <color indexed="81"/>
            <rFont val="Tahoma"/>
            <family val="2"/>
          </rPr>
          <t xml:space="preserve">
</t>
        </r>
      </text>
    </comment>
    <comment ref="AS14" authorId="2" shapeId="0" xr:uid="{0071D889-797B-48A7-99A7-B3B7C4218B88}">
      <text>
        <r>
          <rPr>
            <sz val="12"/>
            <color indexed="53"/>
            <rFont val="Arial"/>
            <family val="2"/>
          </rPr>
          <t>C: compensateurs de jour férié</t>
        </r>
        <r>
          <rPr>
            <b/>
            <sz val="8"/>
            <color indexed="81"/>
            <rFont val="Tahoma"/>
            <family val="2"/>
          </rPr>
          <t xml:space="preserve">
</t>
        </r>
      </text>
    </comment>
    <comment ref="AT14" authorId="0" shapeId="0" xr:uid="{64A2B120-814C-4F8D-83FB-6C72FCD1783A}">
      <text>
        <r>
          <rPr>
            <sz val="12"/>
            <color indexed="53"/>
            <rFont val="Tahoma"/>
            <family val="2"/>
          </rPr>
          <t>Congés Annuels</t>
        </r>
        <r>
          <rPr>
            <sz val="8"/>
            <color indexed="81"/>
            <rFont val="Tahoma"/>
            <family val="2"/>
          </rPr>
          <t xml:space="preserve">
</t>
        </r>
      </text>
    </comment>
    <comment ref="AU14" authorId="1" shapeId="0" xr:uid="{6FA90AEF-D754-4E54-B35C-BA003E05DA9E}">
      <text>
        <r>
          <rPr>
            <sz val="12"/>
            <color indexed="53"/>
            <rFont val="Tahoma"/>
            <family val="2"/>
          </rPr>
          <t>RECUPERATION
des dépassements horaires</t>
        </r>
        <r>
          <rPr>
            <b/>
            <sz val="8"/>
            <color indexed="81"/>
            <rFont val="Tahoma"/>
            <family val="2"/>
          </rPr>
          <t xml:space="preserve">
</t>
        </r>
        <r>
          <rPr>
            <sz val="8"/>
            <color indexed="81"/>
            <rFont val="Tahoma"/>
            <family val="2"/>
          </rPr>
          <t xml:space="preserve">
</t>
        </r>
      </text>
    </comment>
    <comment ref="AV14" authorId="1" shapeId="0" xr:uid="{732DBD99-0F97-419E-A46A-B4B1C98A0760}">
      <text>
        <r>
          <rPr>
            <sz val="12"/>
            <color indexed="53"/>
            <rFont val="Tahoma"/>
            <family val="2"/>
          </rPr>
          <t>Absence Autorisée Payée</t>
        </r>
        <r>
          <rPr>
            <b/>
            <sz val="8"/>
            <color indexed="81"/>
            <rFont val="Tahoma"/>
            <family val="2"/>
          </rPr>
          <t xml:space="preserve">
</t>
        </r>
        <r>
          <rPr>
            <sz val="8"/>
            <color indexed="81"/>
            <rFont val="Tahoma"/>
            <family val="2"/>
          </rPr>
          <t xml:space="preserve">
</t>
        </r>
      </text>
    </comment>
    <comment ref="AW14" authorId="1" shapeId="0" xr:uid="{D03F7190-49AD-4C30-AB30-2A2339221AE0}">
      <text>
        <r>
          <rPr>
            <sz val="12"/>
            <color indexed="53"/>
            <rFont val="Tahoma"/>
            <family val="2"/>
          </rPr>
          <t>*:Arrêt Maladie</t>
        </r>
        <r>
          <rPr>
            <sz val="8"/>
            <color indexed="81"/>
            <rFont val="Tahoma"/>
            <family val="2"/>
          </rPr>
          <t xml:space="preserve">
</t>
        </r>
      </text>
    </comment>
    <comment ref="AX14" authorId="0" shapeId="0" xr:uid="{F7F320C8-09C5-4358-B3C4-81C3B8457054}">
      <text>
        <r>
          <rPr>
            <b/>
            <sz val="8"/>
            <color indexed="81"/>
            <rFont val="Tahoma"/>
            <family val="2"/>
          </rPr>
          <t>Réduction de temps de Travail</t>
        </r>
        <r>
          <rPr>
            <sz val="8"/>
            <color indexed="81"/>
            <rFont val="Tahoma"/>
            <family val="2"/>
          </rPr>
          <t xml:space="preserve">
</t>
        </r>
      </text>
    </comment>
    <comment ref="CH14" authorId="1" shapeId="0" xr:uid="{CBE3DCB3-70D4-4EA3-A01F-8606AC3DE9F5}">
      <text>
        <r>
          <rPr>
            <b/>
            <sz val="8"/>
            <color indexed="81"/>
            <rFont val="Tahoma"/>
            <family val="2"/>
          </rPr>
          <t>*:Vacances Scolaires</t>
        </r>
        <r>
          <rPr>
            <sz val="8"/>
            <color indexed="81"/>
            <rFont val="Tahoma"/>
            <family val="2"/>
          </rPr>
          <t xml:space="preserve">
Effectifs en baisse .
Moins de chauffeurs</t>
        </r>
      </text>
    </comment>
    <comment ref="CH16" authorId="0" shapeId="0" xr:uid="{A436EE82-4BF1-4306-BA32-EBD09C1129AE}">
      <text>
        <r>
          <rPr>
            <b/>
            <sz val="8"/>
            <color indexed="81"/>
            <rFont val="Tahoma"/>
            <family val="2"/>
          </rPr>
          <t xml:space="preserve">*:Jour Férié
</t>
        </r>
        <r>
          <rPr>
            <sz val="8"/>
            <color indexed="81"/>
            <rFont val="Tahoma"/>
            <family val="2"/>
          </rPr>
          <t>Attention aux livraisons
et dates de fabrication
Moins de chauffeurs:</t>
        </r>
        <r>
          <rPr>
            <sz val="8"/>
            <color indexed="81"/>
            <rFont val="Tahoma"/>
            <family val="2"/>
          </rPr>
          <t xml:space="preserve">
</t>
        </r>
      </text>
    </comment>
    <comment ref="BZ22" authorId="1" shapeId="0" xr:uid="{9D88379B-F74C-425E-94F1-B84B88CE0318}">
      <text>
        <r>
          <rPr>
            <b/>
            <sz val="8"/>
            <color indexed="81"/>
            <rFont val="Tahoma"/>
            <family val="2"/>
          </rPr>
          <t>*:Congés Annuels</t>
        </r>
        <r>
          <rPr>
            <sz val="8"/>
            <color indexed="81"/>
            <rFont val="Tahoma"/>
            <family val="2"/>
          </rPr>
          <t xml:space="preserve">
HORS SAISON</t>
        </r>
      </text>
    </comment>
    <comment ref="CH28" authorId="0" shapeId="0" xr:uid="{EC577AAA-F10E-48AD-8464-C2C2FEC3E2AA}">
      <text>
        <r>
          <rPr>
            <b/>
            <sz val="8"/>
            <color indexed="81"/>
            <rFont val="Tahoma"/>
            <family val="2"/>
          </rPr>
          <t xml:space="preserve">A TRAVAILLÉ CE JOUR LA
</t>
        </r>
        <r>
          <rPr>
            <b/>
            <sz val="10"/>
            <color indexed="10"/>
            <rFont val="Tahoma"/>
            <family val="2"/>
          </rPr>
          <t xml:space="preserve">T </t>
        </r>
        <r>
          <rPr>
            <b/>
            <sz val="8"/>
            <color indexed="81"/>
            <rFont val="Tahoma"/>
            <family val="2"/>
          </rPr>
          <t xml:space="preserve">ou </t>
        </r>
        <r>
          <rPr>
            <b/>
            <sz val="10"/>
            <color indexed="10"/>
            <rFont val="Tahoma"/>
            <family val="2"/>
          </rPr>
          <t>1</t>
        </r>
        <r>
          <rPr>
            <b/>
            <sz val="8"/>
            <color indexed="81"/>
            <rFont val="Tahoma"/>
            <family val="2"/>
          </rPr>
          <t xml:space="preserve">
</t>
        </r>
        <r>
          <rPr>
            <b/>
            <sz val="8"/>
            <color indexed="10"/>
            <rFont val="Tahoma"/>
            <family val="2"/>
          </rPr>
          <t>TITULAIRE</t>
        </r>
        <r>
          <rPr>
            <sz val="8"/>
            <color indexed="12"/>
            <rFont val="Tahoma"/>
            <family val="2"/>
          </rPr>
          <t>:</t>
        </r>
        <r>
          <rPr>
            <sz val="8"/>
            <color indexed="81"/>
            <rFont val="Tahoma"/>
            <family val="2"/>
          </rPr>
          <t xml:space="preserve"> 35 H  par semaine / 7H00 par jour
mais fait des journées de 8H
</t>
        </r>
        <r>
          <rPr>
            <b/>
            <sz val="8"/>
            <color indexed="12"/>
            <rFont val="Tahoma"/>
            <family val="2"/>
          </rPr>
          <t>CEC : 32 H / 6H 24 par jour</t>
        </r>
        <r>
          <rPr>
            <sz val="8"/>
            <color indexed="81"/>
            <rFont val="Tahoma"/>
            <family val="2"/>
          </rPr>
          <t xml:space="preserve">
1 jour :      </t>
        </r>
        <r>
          <rPr>
            <b/>
            <sz val="8"/>
            <color indexed="12"/>
            <rFont val="Tahoma"/>
            <family val="2"/>
          </rPr>
          <t>6H24</t>
        </r>
        <r>
          <rPr>
            <sz val="8"/>
            <color indexed="81"/>
            <rFont val="Tahoma"/>
            <family val="2"/>
          </rPr>
          <t xml:space="preserve">
2jours :   </t>
        </r>
        <r>
          <rPr>
            <b/>
            <sz val="8"/>
            <color indexed="12"/>
            <rFont val="Tahoma"/>
            <family val="2"/>
          </rPr>
          <t>12H48</t>
        </r>
        <r>
          <rPr>
            <sz val="8"/>
            <color indexed="81"/>
            <rFont val="Tahoma"/>
            <family val="2"/>
          </rPr>
          <t xml:space="preserve">
3 jours :  </t>
        </r>
        <r>
          <rPr>
            <b/>
            <sz val="8"/>
            <color indexed="12"/>
            <rFont val="Tahoma"/>
            <family val="2"/>
          </rPr>
          <t>19H12</t>
        </r>
        <r>
          <rPr>
            <sz val="8"/>
            <color indexed="81"/>
            <rFont val="Tahoma"/>
            <family val="2"/>
          </rPr>
          <t xml:space="preserve">
4 jours :  </t>
        </r>
        <r>
          <rPr>
            <b/>
            <sz val="8"/>
            <color indexed="12"/>
            <rFont val="Tahoma"/>
            <family val="2"/>
          </rPr>
          <t>25H36</t>
        </r>
        <r>
          <rPr>
            <sz val="8"/>
            <color indexed="81"/>
            <rFont val="Tahoma"/>
            <family val="2"/>
          </rPr>
          <t xml:space="preserve">
5 jours :  </t>
        </r>
        <r>
          <rPr>
            <b/>
            <sz val="8"/>
            <color indexed="12"/>
            <rFont val="Tahoma"/>
            <family val="2"/>
          </rPr>
          <t>32H00</t>
        </r>
        <r>
          <rPr>
            <sz val="8"/>
            <color indexed="81"/>
            <rFont val="Tahoma"/>
            <family val="2"/>
          </rPr>
          <t xml:space="preserve">
</t>
        </r>
        <r>
          <rPr>
            <b/>
            <sz val="8"/>
            <color indexed="17"/>
            <rFont val="Tahoma"/>
            <family val="2"/>
          </rPr>
          <t xml:space="preserve">CES : </t>
        </r>
        <r>
          <rPr>
            <sz val="8"/>
            <color indexed="81"/>
            <rFont val="Tahoma"/>
            <family val="2"/>
          </rPr>
          <t xml:space="preserve">20 H / 4H par jour
</t>
        </r>
      </text>
    </comment>
    <comment ref="BZ34" authorId="0" shapeId="0" xr:uid="{0EAAD1CF-A6AC-4309-A532-CD0589881154}">
      <text>
        <r>
          <rPr>
            <b/>
            <sz val="8"/>
            <color indexed="81"/>
            <rFont val="Tahoma"/>
            <family val="2"/>
          </rPr>
          <t>Accident de Travail</t>
        </r>
        <r>
          <rPr>
            <sz val="8"/>
            <color indexed="81"/>
            <rFont val="Tahoma"/>
            <family val="2"/>
          </rPr>
          <t xml:space="preserve">
</t>
        </r>
      </text>
    </comment>
    <comment ref="BZ36" authorId="1" shapeId="0" xr:uid="{99F062F3-65AF-4CBA-8B62-D64E132A8440}">
      <text>
        <r>
          <rPr>
            <b/>
            <sz val="8"/>
            <color indexed="81"/>
            <rFont val="Tahoma"/>
            <family val="2"/>
          </rPr>
          <t xml:space="preserve">Absences Diverses
</t>
        </r>
        <r>
          <rPr>
            <sz val="8"/>
            <color indexed="81"/>
            <rFont val="Tahoma"/>
            <family val="2"/>
          </rPr>
          <t>Pour remplir rapidement et provisoirement les plannings en attendant d'avoir plus de temps pour afficher les précisions</t>
        </r>
        <r>
          <rPr>
            <sz val="8"/>
            <color indexed="81"/>
            <rFont val="Tahoma"/>
            <family val="2"/>
          </rPr>
          <t xml:space="preserve">
</t>
        </r>
      </text>
    </comment>
    <comment ref="CH36" authorId="0" shapeId="0" xr:uid="{8A65CD09-551F-4191-A8C6-262EA907F7A3}">
      <text>
        <r>
          <rPr>
            <b/>
            <sz val="8"/>
            <color indexed="81"/>
            <rFont val="Tahoma"/>
            <family val="2"/>
          </rPr>
          <t>Travaille ou Absent?</t>
        </r>
        <r>
          <rPr>
            <sz val="8"/>
            <color indexed="81"/>
            <rFont val="Tahoma"/>
            <family val="2"/>
          </rPr>
          <t xml:space="preserve">
</t>
        </r>
      </text>
    </comment>
    <comment ref="BZ38" authorId="1" shapeId="0" xr:uid="{504D224B-7746-401A-9BC4-C5EB8D2565C5}">
      <text>
        <r>
          <rPr>
            <b/>
            <sz val="8"/>
            <color indexed="81"/>
            <rFont val="Tahoma"/>
            <family val="2"/>
          </rPr>
          <t>*:Demande de congés non prévus
OU 
Prévus MAIS à valider avec les contremaîtres et l'équipe</t>
        </r>
        <r>
          <rPr>
            <sz val="8"/>
            <color indexed="81"/>
            <rFont val="Tahoma"/>
            <family val="2"/>
          </rPr>
          <t xml:space="preserve">
</t>
        </r>
      </text>
    </comment>
    <comment ref="CH40" authorId="2" shapeId="0" xr:uid="{164148FC-1838-445B-BCA8-566ECA3D1632}">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40" authorId="2" shapeId="0" xr:uid="{1CAC8AF8-2018-472A-B1CE-97AF5808A153}">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42" authorId="2" shapeId="0" xr:uid="{E7F12101-46DE-4707-BE08-E468FC2AD513}">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42" authorId="2" shapeId="0" xr:uid="{E521C267-4F82-4911-8370-458771C9CDAC}">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44" authorId="2" shapeId="0" xr:uid="{1B4B1B0E-6FC9-469A-86F7-547F654A982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44" authorId="2" shapeId="0" xr:uid="{E520F319-C01A-46F1-930B-0977ADF2593D}">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46" authorId="2" shapeId="0" xr:uid="{D85E5921-2167-4A7A-A638-E1CB00296A69}">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46" authorId="2" shapeId="0" xr:uid="{599A1471-D242-4334-99D6-C4D0A1B5F506}">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48" authorId="2" shapeId="0" xr:uid="{674886D3-A968-4337-8D4C-759530827EEA}">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48" authorId="2" shapeId="0" xr:uid="{7C5C40AA-1037-4408-9904-01A6058C1F4C}">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51" authorId="2" shapeId="0" xr:uid="{6C4134F9-C4F9-4B8E-BF4D-9200CAE7A279}">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51" authorId="2" shapeId="0" xr:uid="{F5588A6F-DC52-4CC7-A5AA-4FF373AF0A2E}">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52" authorId="2" shapeId="0" xr:uid="{55EE199D-AABC-4D4F-B03D-B9EEA9F6E6A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52" authorId="2" shapeId="0" xr:uid="{C60B3EA9-A27A-4088-98EB-B764F12106A3}">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54" authorId="2" shapeId="0" xr:uid="{DB834FB0-5341-4E32-942C-5D1DD7D6D1B3}">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54" authorId="2" shapeId="0" xr:uid="{E6F102F6-9D32-4570-AFEE-BAE8C098E1D3}">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55" authorId="2" shapeId="0" xr:uid="{A1D847A4-813A-4A83-80F4-400D9F8F35C3}">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55" authorId="2" shapeId="0" xr:uid="{FBF237F3-6213-4A11-9180-EB66EA7D94D4}">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56" authorId="2" shapeId="0" xr:uid="{804B3BE6-B233-41ED-A7AD-90D435190BB4}">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56" authorId="2" shapeId="0" xr:uid="{55443228-E643-4F12-9BAD-31047D835C65}">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57" authorId="2" shapeId="0" xr:uid="{F71BC821-B6C8-4CBA-903D-09FF31366591}">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57" authorId="2" shapeId="0" xr:uid="{B970C027-836F-48F4-9E0F-8D620929B7B0}">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58" authorId="2" shapeId="0" xr:uid="{723D81BF-EEF5-49D3-AD55-6FA59EFBE6E2}">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58" authorId="2" shapeId="0" xr:uid="{56623985-495A-419A-AF47-21AF71012CEB}">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59" authorId="2" shapeId="0" xr:uid="{F34A9FE9-8506-48B5-A85E-9522C99CFF58}">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59" authorId="2" shapeId="0" xr:uid="{F0E8FDE9-0638-429C-ACDF-3AA1A297E547}">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60" authorId="2" shapeId="0" xr:uid="{02347F3E-F63A-4137-901D-697E9115AFD4}">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60" authorId="2" shapeId="0" xr:uid="{C1015A9E-40E7-47C3-9A6E-14B5E689A93C}">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61" authorId="2" shapeId="0" xr:uid="{87C2DAA5-6669-4BCB-9B9B-8540B451AEFF}">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61" authorId="2" shapeId="0" xr:uid="{D4589B7B-C025-4092-BC34-8D5A5021036A}">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CH62" authorId="2" shapeId="0" xr:uid="{0BCB5380-2EDD-4D85-BF6F-AA15C4BEFF31}">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I62" authorId="2" shapeId="0" xr:uid="{151DA720-AA34-48E8-95B1-46237773E15A}">
      <text>
        <r>
          <rPr>
            <b/>
            <sz val="8"/>
            <color indexed="81"/>
            <rFont val="Tahoma"/>
            <family val="2"/>
          </rPr>
          <t xml:space="preserve">HEURE FIN
</t>
        </r>
        <r>
          <rPr>
            <i/>
            <sz val="8"/>
            <color indexed="81"/>
            <rFont val="Tahoma"/>
            <family val="2"/>
          </rPr>
          <t>SAISISSEZ COMME SUIT :</t>
        </r>
        <r>
          <rPr>
            <b/>
            <sz val="8"/>
            <color indexed="81"/>
            <rFont val="Tahoma"/>
            <family val="2"/>
          </rPr>
          <t xml:space="preserve">
00:45
07:15
12:20</t>
        </r>
      </text>
    </comment>
    <comment ref="J70" authorId="0" shapeId="0" xr:uid="{07AD24C5-3490-4F73-9E6B-DE3911730FE4}">
      <text>
        <r>
          <rPr>
            <sz val="12"/>
            <color indexed="53"/>
            <rFont val="Tahoma"/>
            <family val="2"/>
          </rPr>
          <t>Congés Annuels</t>
        </r>
        <r>
          <rPr>
            <sz val="8"/>
            <color indexed="81"/>
            <rFont val="Tahoma"/>
            <family val="2"/>
          </rPr>
          <t xml:space="preserve">
</t>
        </r>
      </text>
    </comment>
    <comment ref="K70" authorId="1" shapeId="0" xr:uid="{E80DA648-402B-415B-8BC4-453C76DD6CF7}">
      <text>
        <r>
          <rPr>
            <sz val="12"/>
            <color indexed="53"/>
            <rFont val="Tahoma"/>
            <family val="2"/>
          </rPr>
          <t>RECUPERATION
des dépassements horaires</t>
        </r>
        <r>
          <rPr>
            <b/>
            <sz val="8"/>
            <color indexed="81"/>
            <rFont val="Tahoma"/>
            <family val="2"/>
          </rPr>
          <t xml:space="preserve">
</t>
        </r>
        <r>
          <rPr>
            <sz val="8"/>
            <color indexed="81"/>
            <rFont val="Tahoma"/>
            <family val="2"/>
          </rPr>
          <t xml:space="preserve">
</t>
        </r>
      </text>
    </comment>
    <comment ref="L70" authorId="1" shapeId="0" xr:uid="{292822A6-62EE-444D-B8F1-2BE8F0CDB3C6}">
      <text>
        <r>
          <rPr>
            <sz val="12"/>
            <color indexed="53"/>
            <rFont val="Tahoma"/>
            <family val="2"/>
          </rPr>
          <t>Absence Autorisée Payée</t>
        </r>
        <r>
          <rPr>
            <b/>
            <sz val="8"/>
            <color indexed="81"/>
            <rFont val="Tahoma"/>
            <family val="2"/>
          </rPr>
          <t xml:space="preserve">
</t>
        </r>
        <r>
          <rPr>
            <sz val="8"/>
            <color indexed="81"/>
            <rFont val="Tahoma"/>
            <family val="2"/>
          </rPr>
          <t xml:space="preserve">
</t>
        </r>
      </text>
    </comment>
    <comment ref="M70" authorId="1" shapeId="0" xr:uid="{6FEBB412-CA4A-4145-8816-B06D17E363C2}">
      <text>
        <r>
          <rPr>
            <sz val="12"/>
            <color indexed="53"/>
            <rFont val="Tahoma"/>
            <family val="2"/>
          </rPr>
          <t>*:Arrêt Maladie</t>
        </r>
        <r>
          <rPr>
            <sz val="8"/>
            <color indexed="81"/>
            <rFont val="Tahoma"/>
            <family val="2"/>
          </rPr>
          <t xml:space="preserve">
</t>
        </r>
      </text>
    </comment>
    <comment ref="N70" authorId="0" shapeId="0" xr:uid="{74C3C37D-CF57-496A-B939-EE611D6A8C9D}">
      <text>
        <r>
          <rPr>
            <b/>
            <sz val="8"/>
            <color indexed="81"/>
            <rFont val="Tahoma"/>
            <family val="2"/>
          </rPr>
          <t>Réduction de temps de Travail</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Leboucher.joel@wanadoo.fr</author>
    <author>*</author>
    <author>Chef de production</author>
  </authors>
  <commentList>
    <comment ref="D4" authorId="0" shapeId="0" xr:uid="{9CCFA584-951C-4AB8-81D1-D2F8300C33E0}">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E4" authorId="0" shapeId="0" xr:uid="{990BA618-7E4E-4D32-8638-60B1B2866080}">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H4" authorId="0" shapeId="0" xr:uid="{599A342E-DFBE-4758-A981-6503E25E61D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I4" authorId="0" shapeId="0" xr:uid="{C74D9D13-776A-4152-B5AD-0BCC1ADF7A74}">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J4" authorId="0" shapeId="0" xr:uid="{F40A8D90-DDCE-46D6-80B8-84840BB17809}">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K4" authorId="0" shapeId="0" xr:uid="{2EA5CC76-4B22-4B79-9849-2D13314A39DF}">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L4" authorId="0" shapeId="0" xr:uid="{3683D07C-5372-41C6-AE19-0BDED752645A}">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M4" authorId="0" shapeId="0" xr:uid="{A965FF1D-FD32-47C2-B11D-8D1A156E3E94}">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P4" authorId="0" shapeId="0" xr:uid="{3D62E856-3DE7-44E4-B2BA-856CC504F38A}">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Q4" authorId="0" shapeId="0" xr:uid="{8C75CF3B-3B9C-430C-8743-6FE64D483954}">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R4" authorId="0" shapeId="0" xr:uid="{A8B2203E-D711-40D1-80F9-116D7FBF1741}">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T4" authorId="0" shapeId="0" xr:uid="{690FB876-ACB8-46FC-91CF-3DDE56F7D27A}">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U4" authorId="0" shapeId="0" xr:uid="{8E35C557-1DEE-4FC3-B3E6-FC4D243A902F}">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V4" authorId="0" shapeId="0" xr:uid="{4C89585C-F41E-47D6-8F78-70F989EDF97C}">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W4" authorId="0" shapeId="0" xr:uid="{CBEFDAF4-DB03-45A5-8081-3197989CE48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C6" authorId="1" shapeId="0" xr:uid="{3C75F309-78FD-4DD8-B46F-85429FAC14BA}">
      <text>
        <r>
          <rPr>
            <b/>
            <sz val="12"/>
            <color indexed="81"/>
            <rFont val="Tahoma"/>
            <family val="2"/>
          </rPr>
          <t xml:space="preserve">      L1</t>
        </r>
        <r>
          <rPr>
            <b/>
            <sz val="8"/>
            <color indexed="81"/>
            <rFont val="Tahoma"/>
            <family val="2"/>
          </rPr>
          <t xml:space="preserve">
</t>
        </r>
        <r>
          <rPr>
            <b/>
            <u/>
            <sz val="8"/>
            <color indexed="10"/>
            <rFont val="Tahoma"/>
            <family val="2"/>
          </rPr>
          <t>On ne peut pas faire un L1 APRES un L5 ou un L6 pas assez de repos</t>
        </r>
        <r>
          <rPr>
            <b/>
            <sz val="8"/>
            <color indexed="81"/>
            <rFont val="Tahoma"/>
            <family val="2"/>
          </rPr>
          <t xml:space="preserve">
Livraisons 7H30-11H30
1 CHAUFFEUR
</t>
        </r>
        <r>
          <rPr>
            <sz val="8"/>
            <color indexed="81"/>
            <rFont val="Tahoma"/>
            <family val="2"/>
          </rPr>
          <t>Période d'école et Vacances scolaires
Tous les jours SAUF  SAMEDI -DIMANCHE et FERIE</t>
        </r>
        <r>
          <rPr>
            <b/>
            <sz val="8"/>
            <color indexed="81"/>
            <rFont val="Tahoma"/>
            <family val="2"/>
          </rPr>
          <t xml:space="preserve">
Hopital-CCAS-H.Jour Enfants-H.Jour Adultes-Le Breuil-IMP-Foyers</t>
        </r>
      </text>
    </comment>
    <comment ref="D8" authorId="1" shapeId="0" xr:uid="{43E19A5B-CAE6-414A-A838-8DCFF20786FD}">
      <text>
        <r>
          <rPr>
            <b/>
            <u/>
            <sz val="10"/>
            <color indexed="10"/>
            <rFont val="Tahoma"/>
            <family val="2"/>
          </rPr>
          <t xml:space="preserve">        L2</t>
        </r>
        <r>
          <rPr>
            <b/>
            <u/>
            <sz val="8"/>
            <color indexed="10"/>
            <rFont val="Tahoma"/>
            <family val="2"/>
          </rPr>
          <t xml:space="preserve">
On ne peut pas faire un L2 APRES un L5 ou un L6 pas assez de repos</t>
        </r>
        <r>
          <rPr>
            <b/>
            <sz val="8"/>
            <color indexed="81"/>
            <rFont val="Tahoma"/>
            <family val="2"/>
          </rPr>
          <t xml:space="preserve">
Livraisons 8H30-17H00
1 CHAUFFEUR
</t>
        </r>
        <r>
          <rPr>
            <sz val="8"/>
            <color indexed="81"/>
            <rFont val="Tahoma"/>
            <family val="2"/>
          </rPr>
          <t xml:space="preserve">Période d'école et Vacances scolaires
Tous les jours SAUF -DIMANCHE et FERIE
</t>
        </r>
        <r>
          <rPr>
            <b/>
            <sz val="8"/>
            <color indexed="81"/>
            <rFont val="Tahoma"/>
            <family val="2"/>
          </rPr>
          <t>Hopital-V240-Pompiers + VANDREE</t>
        </r>
        <r>
          <rPr>
            <sz val="8"/>
            <color indexed="81"/>
            <rFont val="Tahoma"/>
            <family val="2"/>
          </rPr>
          <t xml:space="preserve">
HORAIRES
Saisissez vos horaires journaliers sous la forme 08h00-16h00 ou tapez Repos,Maladie etc.On ne peut pas faire un L1 APRES un L5 ou un L6 pas assez de repos</t>
        </r>
      </text>
    </comment>
    <comment ref="O10" authorId="1" shapeId="0" xr:uid="{73B2744D-7072-4259-B240-2184F029EE65}">
      <text>
        <r>
          <rPr>
            <b/>
            <sz val="12"/>
            <color indexed="81"/>
            <rFont val="Tahoma"/>
            <family val="2"/>
          </rPr>
          <t xml:space="preserve">      L6</t>
        </r>
        <r>
          <rPr>
            <b/>
            <sz val="8"/>
            <color indexed="81"/>
            <rFont val="Tahoma"/>
            <family val="2"/>
          </rPr>
          <t xml:space="preserve">
</t>
        </r>
        <r>
          <rPr>
            <b/>
            <u/>
            <sz val="8"/>
            <color indexed="10"/>
            <rFont val="Tahoma"/>
            <family val="2"/>
          </rPr>
          <t>APRES L6 on ne peut pas faire L1 ni L2 pas assez de repos</t>
        </r>
        <r>
          <rPr>
            <b/>
            <sz val="8"/>
            <color indexed="81"/>
            <rFont val="Tahoma"/>
            <family val="2"/>
          </rPr>
          <t xml:space="preserve">
 17H30-22H00
PERIODE D'ECOLE
1 CHAUFFEUR
</t>
        </r>
        <r>
          <rPr>
            <sz val="8"/>
            <color indexed="81"/>
            <rFont val="Tahoma"/>
            <family val="2"/>
          </rPr>
          <t xml:space="preserve">les Mardi- Mercredi- Dimanche 
</t>
        </r>
        <r>
          <rPr>
            <b/>
            <sz val="8"/>
            <color indexed="81"/>
            <rFont val="Tahoma"/>
            <family val="2"/>
          </rPr>
          <t>VACANCES SCOLAIRES</t>
        </r>
        <r>
          <rPr>
            <b/>
            <sz val="8"/>
            <color indexed="81"/>
            <rFont val="Tahoma"/>
            <family val="2"/>
          </rPr>
          <t xml:space="preserve">
1 ACCOMPAGNATEUR
TOUS LES JOURS 
</t>
        </r>
        <r>
          <rPr>
            <sz val="8"/>
            <color indexed="81"/>
            <rFont val="Tahoma"/>
            <family val="2"/>
          </rPr>
          <t xml:space="preserve">y compris   Dimanches et jours Fériés
</t>
        </r>
        <r>
          <rPr>
            <b/>
            <sz val="8"/>
            <color indexed="81"/>
            <rFont val="Tahoma"/>
            <family val="2"/>
          </rPr>
          <t xml:space="preserve">
</t>
        </r>
        <r>
          <rPr>
            <sz val="8"/>
            <color indexed="81"/>
            <rFont val="Tahoma"/>
            <family val="2"/>
          </rPr>
          <t>HORAIRES
Saisissez vos horaires journaliers sous la forme 08h00-16h00 ou tapez Repos,Maladie etc.</t>
        </r>
        <r>
          <rPr>
            <sz val="8"/>
            <color indexed="81"/>
            <rFont val="Tahoma"/>
            <family val="2"/>
          </rPr>
          <t xml:space="preserve">
</t>
        </r>
      </text>
    </comment>
    <comment ref="J12" authorId="1" shapeId="0" xr:uid="{AD9FF288-1C0A-4730-A688-EDE5A8BDB9A9}">
      <text>
        <r>
          <rPr>
            <b/>
            <sz val="8"/>
            <color indexed="81"/>
            <rFont val="Tahoma"/>
            <family val="2"/>
          </rPr>
          <t xml:space="preserve">  </t>
        </r>
        <r>
          <rPr>
            <b/>
            <sz val="12"/>
            <color indexed="81"/>
            <rFont val="Tahoma"/>
            <family val="2"/>
          </rPr>
          <t xml:space="preserve">EC =L5 </t>
        </r>
        <r>
          <rPr>
            <b/>
            <sz val="8"/>
            <color indexed="81"/>
            <rFont val="Tahoma"/>
            <family val="2"/>
          </rPr>
          <t xml:space="preserve">Livraisons Ecoles avec Caroline
1 EC par semaine et par chauffeur
 </t>
        </r>
        <r>
          <rPr>
            <b/>
            <sz val="8"/>
            <color indexed="81"/>
            <rFont val="Tahoma"/>
            <family val="2"/>
          </rPr>
          <t xml:space="preserve">13H30-22H00
</t>
        </r>
        <r>
          <rPr>
            <b/>
            <u/>
            <sz val="8"/>
            <color indexed="10"/>
            <rFont val="Tahoma"/>
            <family val="2"/>
          </rPr>
          <t>Après L5 on ne peut pas faire L1 ni L2 pas assez de repos.
Commencer d'abord par L2 puis L5</t>
        </r>
        <r>
          <rPr>
            <b/>
            <sz val="8"/>
            <color indexed="81"/>
            <rFont val="Tahoma"/>
            <family val="2"/>
          </rPr>
          <t xml:space="preserve">
PERIODE D'ECOLE
1 CHAUFEURS 
Ramassage V240 à 13H30 
SAUF MERCREDI
</t>
        </r>
        <r>
          <rPr>
            <sz val="8"/>
            <color indexed="81"/>
            <rFont val="Tahoma"/>
            <family val="2"/>
          </rPr>
          <t xml:space="preserve">y compris  les jours Fériés
</t>
        </r>
        <r>
          <rPr>
            <b/>
            <sz val="8"/>
            <color indexed="81"/>
            <rFont val="Tahoma"/>
            <family val="2"/>
          </rPr>
          <t xml:space="preserve">
</t>
        </r>
        <r>
          <rPr>
            <sz val="8"/>
            <color indexed="81"/>
            <rFont val="Tahoma"/>
            <family val="2"/>
          </rPr>
          <t>HORAIRES
Saisissez vos horaires journaliers sous la forme 08h00-16h00 ou tapez Repos,Maladie etc.</t>
        </r>
      </text>
    </comment>
    <comment ref="D19" authorId="0" shapeId="0" xr:uid="{BEEF2B40-5660-4FDD-BDC5-DAB605A2DFC1}">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E19" authorId="0" shapeId="0" xr:uid="{5DDFCA5F-5491-49C2-91CB-444B0387200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H19" authorId="0" shapeId="0" xr:uid="{B3C1B9FB-66E4-42B3-8030-89C4D9DB1ACC}">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I19" authorId="0" shapeId="0" xr:uid="{CBF5C4F3-68A6-4A8E-8DED-7EC35A93B7F8}">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J19" authorId="0" shapeId="0" xr:uid="{9945634C-83DE-42B9-9F0D-69BEC1E3384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K19" authorId="0" shapeId="0" xr:uid="{284D6E7A-B252-4B74-8B85-4CAF1970ABCB}">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L19" authorId="0" shapeId="0" xr:uid="{61A73299-4D09-4425-9361-D73927D22EF0}">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M19" authorId="0" shapeId="0" xr:uid="{2D0BB137-7CB1-4783-8652-55E5A9C8E383}">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P19" authorId="0" shapeId="0" xr:uid="{108966C3-CDA6-44DC-8C15-C564475FA42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Q19" authorId="0" shapeId="0" xr:uid="{5B0C1E2B-3EE3-49F6-989F-6D692CE5BD32}">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R19" authorId="0" shapeId="0" xr:uid="{9BA46ADE-96AA-42F7-BFA6-B87D3C6CC17E}">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T19" authorId="0" shapeId="0" xr:uid="{24BD21C4-78A2-45A0-A611-FEC379FE73D5}">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U19" authorId="0" shapeId="0" xr:uid="{D1B12D6A-AB58-4514-AD95-ED4C855173C8}">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V19" authorId="0" shapeId="0" xr:uid="{424D60FF-ABBD-445A-A7EF-03B01B81DA01}">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W19" authorId="0" shapeId="0" xr:uid="{0F2E9550-EC3B-4346-8B26-C8341597AF9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D23" authorId="1" shapeId="0" xr:uid="{02A6E6ED-5580-45BD-ACEF-3E0E02305D49}">
      <text>
        <r>
          <rPr>
            <b/>
            <u/>
            <sz val="10"/>
            <color indexed="10"/>
            <rFont val="Tahoma"/>
            <family val="2"/>
          </rPr>
          <t xml:space="preserve">        L2</t>
        </r>
        <r>
          <rPr>
            <b/>
            <u/>
            <sz val="8"/>
            <color indexed="10"/>
            <rFont val="Tahoma"/>
            <family val="2"/>
          </rPr>
          <t xml:space="preserve">
On ne peut pas faire un L2 APRES un L5 ou un L6 pas assez de repos</t>
        </r>
        <r>
          <rPr>
            <b/>
            <sz val="8"/>
            <color indexed="81"/>
            <rFont val="Tahoma"/>
            <family val="2"/>
          </rPr>
          <t xml:space="preserve">
Livraisons 8H30-17H00
1 CHAUFFEUR
</t>
        </r>
        <r>
          <rPr>
            <sz val="8"/>
            <color indexed="81"/>
            <rFont val="Tahoma"/>
            <family val="2"/>
          </rPr>
          <t xml:space="preserve">Période d'école et Vacances scolaires
Tous les jours SAUF -DIMANCHE et FERIE
</t>
        </r>
        <r>
          <rPr>
            <b/>
            <sz val="8"/>
            <color indexed="81"/>
            <rFont val="Tahoma"/>
            <family val="2"/>
          </rPr>
          <t>Hopital-V240-Pompiers + VANDREE</t>
        </r>
        <r>
          <rPr>
            <sz val="8"/>
            <color indexed="81"/>
            <rFont val="Tahoma"/>
            <family val="2"/>
          </rPr>
          <t xml:space="preserve">
HORAIRES
Saisissez vos horaires journaliers sous la forme 08h00-16h00 ou tapez Repos,Maladie etc.On ne peut pas faire un L1 APRES un L5 ou un L6 pas assez de repos</t>
        </r>
      </text>
    </comment>
    <comment ref="J25" authorId="1" shapeId="0" xr:uid="{FCB85F3A-8895-43B0-82BD-BE064995D580}">
      <text>
        <r>
          <rPr>
            <b/>
            <sz val="8"/>
            <color indexed="81"/>
            <rFont val="Tahoma"/>
            <family val="2"/>
          </rPr>
          <t xml:space="preserve">  </t>
        </r>
        <r>
          <rPr>
            <b/>
            <sz val="12"/>
            <color indexed="81"/>
            <rFont val="Tahoma"/>
            <family val="2"/>
          </rPr>
          <t xml:space="preserve">EC =L5 </t>
        </r>
        <r>
          <rPr>
            <b/>
            <sz val="8"/>
            <color indexed="81"/>
            <rFont val="Tahoma"/>
            <family val="2"/>
          </rPr>
          <t xml:space="preserve">Livraisons Ecoles avec Robert
1 EC par semaine et par chauffeur
 13H30-22H00
</t>
        </r>
        <r>
          <rPr>
            <b/>
            <u/>
            <sz val="8"/>
            <color indexed="10"/>
            <rFont val="Tahoma"/>
            <family val="2"/>
          </rPr>
          <t>Après L5 on ne peut pas faire L1 ni L2 pas assez de repos.
Commencer d'abord par L2 puis L5</t>
        </r>
        <r>
          <rPr>
            <b/>
            <sz val="8"/>
            <color indexed="81"/>
            <rFont val="Tahoma"/>
            <family val="2"/>
          </rPr>
          <t xml:space="preserve">
PERIODE D'ECOLE
1 CHAUFEURS 
Ramassage V240 à 13H30 
SAUF MERCREDI
</t>
        </r>
        <r>
          <rPr>
            <sz val="8"/>
            <color indexed="81"/>
            <rFont val="Tahoma"/>
            <family val="2"/>
          </rPr>
          <t xml:space="preserve">y compris  les jours Fériés
</t>
        </r>
        <r>
          <rPr>
            <b/>
            <sz val="8"/>
            <color indexed="81"/>
            <rFont val="Tahoma"/>
            <family val="2"/>
          </rPr>
          <t xml:space="preserve">
</t>
        </r>
        <r>
          <rPr>
            <sz val="8"/>
            <color indexed="81"/>
            <rFont val="Tahoma"/>
            <family val="2"/>
          </rPr>
          <t>HORAIRES
Saisissez vos horaires journaliers sous la forme 08h00-16h00 ou tapez Repos,Maladie etc.</t>
        </r>
      </text>
    </comment>
    <comment ref="D32" authorId="0" shapeId="0" xr:uid="{5FE16D1B-A905-4FDD-B19A-7E8A7F9316DF}">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E32" authorId="0" shapeId="0" xr:uid="{C8D959A2-79D2-43B7-9403-2E98E610E533}">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H32" authorId="0" shapeId="0" xr:uid="{071E5307-756D-4F33-963D-00E9E04B172C}">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I32" authorId="0" shapeId="0" xr:uid="{DEE30EE3-192D-4083-A3BC-E0ACD9794209}">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J32" authorId="0" shapeId="0" xr:uid="{AF290D70-21BB-4915-A136-C7904C2AB85C}">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K32" authorId="0" shapeId="0" xr:uid="{C636B8C8-3F6B-4788-AEB2-E847652DC66B}">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L32" authorId="0" shapeId="0" xr:uid="{34582961-BA5C-4563-9D5D-135180560CA7}">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M32" authorId="0" shapeId="0" xr:uid="{6B136E9D-C311-477E-AB26-1DBBBD229098}">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P32" authorId="0" shapeId="0" xr:uid="{7A4744CD-CF34-4FB8-8BAF-5F6706D0AF75}">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Q32" authorId="0" shapeId="0" xr:uid="{CA876049-FBEB-447C-9C3A-8EFF5617F0D1}">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R32" authorId="0" shapeId="0" xr:uid="{12F77CBC-CA36-4875-8E62-18497A8BEFD4}">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T32" authorId="0" shapeId="0" xr:uid="{D07D0DAC-E06E-47B9-A216-CFBE91210512}">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U32" authorId="0" shapeId="0" xr:uid="{2F9A8948-F3E7-45BF-91AD-F5C0F5BA14CB}">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V32" authorId="0" shapeId="0" xr:uid="{86FF68E1-28F8-4606-BE51-771EBE4A49C6}">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W32" authorId="0" shapeId="0" xr:uid="{1DB7847A-7289-4BF8-A51C-E11769270418}">
      <text>
        <r>
          <rPr>
            <b/>
            <sz val="8"/>
            <color indexed="81"/>
            <rFont val="Tahoma"/>
            <family val="2"/>
          </rPr>
          <t xml:space="preserve">HEURE DEBUT
</t>
        </r>
        <r>
          <rPr>
            <i/>
            <sz val="8"/>
            <color indexed="81"/>
            <rFont val="Tahoma"/>
            <family val="2"/>
          </rPr>
          <t>SAISISSEZ COMME SUIT :</t>
        </r>
        <r>
          <rPr>
            <b/>
            <sz val="8"/>
            <color indexed="81"/>
            <rFont val="Tahoma"/>
            <family val="2"/>
          </rPr>
          <t xml:space="preserve">
00:45
07:15
12:20</t>
        </r>
      </text>
    </comment>
    <comment ref="D36" authorId="1" shapeId="0" xr:uid="{A2E387F2-92B7-43D6-9337-EBA69FD4A865}">
      <text>
        <r>
          <rPr>
            <b/>
            <u/>
            <sz val="10"/>
            <color indexed="10"/>
            <rFont val="Tahoma"/>
            <family val="2"/>
          </rPr>
          <t xml:space="preserve">        L2</t>
        </r>
        <r>
          <rPr>
            <b/>
            <u/>
            <sz val="8"/>
            <color indexed="10"/>
            <rFont val="Tahoma"/>
            <family val="2"/>
          </rPr>
          <t xml:space="preserve">
On ne peut pas faire un L2 APRES un L5 ou un L6 pas assez de repos</t>
        </r>
        <r>
          <rPr>
            <b/>
            <sz val="8"/>
            <color indexed="81"/>
            <rFont val="Tahoma"/>
            <family val="2"/>
          </rPr>
          <t xml:space="preserve">
Livraisons 8H30-17H00
1 CHAUFFEUR
</t>
        </r>
        <r>
          <rPr>
            <sz val="8"/>
            <color indexed="81"/>
            <rFont val="Tahoma"/>
            <family val="2"/>
          </rPr>
          <t xml:space="preserve">Période d'école et Vacances scolaires
Tous les jours SAUF -DIMANCHE et FERIE
</t>
        </r>
        <r>
          <rPr>
            <b/>
            <sz val="8"/>
            <color indexed="81"/>
            <rFont val="Tahoma"/>
            <family val="2"/>
          </rPr>
          <t>Hopital-V240-Pompiers + VANDREE</t>
        </r>
        <r>
          <rPr>
            <sz val="8"/>
            <color indexed="81"/>
            <rFont val="Tahoma"/>
            <family val="2"/>
          </rPr>
          <t xml:space="preserve">
HORAIRES
Saisissez vos horaires journaliers sous la forme 08h00-16h00 ou tapez Repos,Maladie etc.On ne peut pas faire un L1 APRES un L5 ou un L6 pas assez de repos</t>
        </r>
      </text>
    </comment>
    <comment ref="K40" authorId="2" shapeId="0" xr:uid="{4D609059-5CFC-4673-B10C-91DBF91B29F3}">
      <text>
        <r>
          <rPr>
            <b/>
            <sz val="14"/>
            <color indexed="81"/>
            <rFont val="Tahoma"/>
            <family val="2"/>
          </rPr>
          <t xml:space="preserve">L7
</t>
        </r>
        <r>
          <rPr>
            <sz val="14"/>
            <color indexed="81"/>
            <rFont val="Tahoma"/>
            <family val="2"/>
          </rPr>
          <t>Remplacement de Caroline</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
    <author>Chef de production</author>
  </authors>
  <commentList>
    <comment ref="E186" authorId="0" shapeId="0" xr:uid="{78D68705-9A66-41CB-BD90-DA86BFD7CB80}">
      <text>
        <r>
          <rPr>
            <b/>
            <sz val="8"/>
            <color indexed="81"/>
            <rFont val="Tahoma"/>
            <family val="2"/>
          </rPr>
          <t xml:space="preserve">*:Repos Hebdomadaire
Coller cette cellule dans la cellule Horaires
</t>
        </r>
        <r>
          <rPr>
            <sz val="8"/>
            <color indexed="81"/>
            <rFont val="Tahoma"/>
            <family val="2"/>
          </rPr>
          <t>Parce que le décompte des heures est basé sur 5 jours de Travail</t>
        </r>
        <r>
          <rPr>
            <sz val="8"/>
            <color indexed="81"/>
            <rFont val="Tahoma"/>
            <family val="2"/>
          </rPr>
          <t xml:space="preserve">
</t>
        </r>
      </text>
    </comment>
    <comment ref="E187" authorId="1" shapeId="0" xr:uid="{F17B4B45-0DFB-4095-8714-FBC6DAA4BCDA}">
      <text>
        <r>
          <rPr>
            <b/>
            <sz val="8"/>
            <color indexed="81"/>
            <rFont val="Tahoma"/>
            <family val="2"/>
          </rPr>
          <t xml:space="preserve">*:Jour Férié
</t>
        </r>
        <r>
          <rPr>
            <sz val="8"/>
            <color indexed="81"/>
            <rFont val="Tahoma"/>
            <family val="2"/>
          </rPr>
          <t>Attention aux livraisons
et dates de fabrication
Moins de chauffeurs:</t>
        </r>
        <r>
          <rPr>
            <sz val="8"/>
            <color indexed="81"/>
            <rFont val="Tahoma"/>
            <family val="2"/>
          </rPr>
          <t xml:space="preserve">
</t>
        </r>
      </text>
    </comment>
    <comment ref="E188" authorId="1" shapeId="0" xr:uid="{F0F98E19-ABA8-4722-9359-FDC9A2B88E0D}">
      <text>
        <r>
          <rPr>
            <b/>
            <sz val="8"/>
            <color indexed="81"/>
            <rFont val="Tahoma"/>
            <family val="2"/>
          </rPr>
          <t>Congés Annuels</t>
        </r>
        <r>
          <rPr>
            <sz val="8"/>
            <color indexed="81"/>
            <rFont val="Tahoma"/>
            <family val="2"/>
          </rPr>
          <t xml:space="preserve">
</t>
        </r>
      </text>
    </comment>
    <comment ref="E189" authorId="1" shapeId="0" xr:uid="{32C5CF90-70AB-4938-95B2-AA4853EF265A}">
      <text>
        <r>
          <rPr>
            <b/>
            <sz val="8"/>
            <color indexed="81"/>
            <rFont val="Tahoma"/>
            <family val="2"/>
          </rPr>
          <t>Réduction de temps de Travail</t>
        </r>
        <r>
          <rPr>
            <sz val="8"/>
            <color indexed="81"/>
            <rFont val="Tahoma"/>
            <family val="2"/>
          </rPr>
          <t xml:space="preserve">
</t>
        </r>
      </text>
    </comment>
    <comment ref="E195" authorId="0" shapeId="0" xr:uid="{F3A1CDBF-174F-4483-9279-C6B9F7731DD6}">
      <text>
        <r>
          <rPr>
            <b/>
            <sz val="8"/>
            <color indexed="81"/>
            <rFont val="Tahoma"/>
            <family val="2"/>
          </rPr>
          <t xml:space="preserve">*:Repos Hebdomadaire
Coller cette cellule dans la cellule Horaires
</t>
        </r>
        <r>
          <rPr>
            <sz val="8"/>
            <color indexed="81"/>
            <rFont val="Tahoma"/>
            <family val="2"/>
          </rPr>
          <t>Parce que le décompte des heures est basé sur 5 jours de Travail</t>
        </r>
        <r>
          <rPr>
            <sz val="8"/>
            <color indexed="81"/>
            <rFont val="Tahoma"/>
            <family val="2"/>
          </rPr>
          <t xml:space="preserve">
</t>
        </r>
      </text>
    </comment>
    <comment ref="E196" authorId="1" shapeId="0" xr:uid="{7FBE8B27-1C7F-490D-8E52-E1EC09F929AE}">
      <text>
        <r>
          <rPr>
            <b/>
            <sz val="8"/>
            <color indexed="81"/>
            <rFont val="Tahoma"/>
            <family val="2"/>
          </rPr>
          <t xml:space="preserve">*:Jour Férié
</t>
        </r>
        <r>
          <rPr>
            <sz val="8"/>
            <color indexed="81"/>
            <rFont val="Tahoma"/>
            <family val="2"/>
          </rPr>
          <t>Attention aux livraisons
et dates de fabrication
Moins de chauffeurs:</t>
        </r>
        <r>
          <rPr>
            <sz val="8"/>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<sst xmlns="http://schemas.openxmlformats.org/spreadsheetml/2006/main" count="4561" uniqueCount="1073">
  <si>
    <t>nom</t>
  </si>
  <si>
    <t>debut</t>
  </si>
  <si>
    <t>fin</t>
  </si>
  <si>
    <t>symbol</t>
  </si>
  <si>
    <t>daniel</t>
  </si>
  <si>
    <t>sebastien</t>
  </si>
  <si>
    <t>M</t>
  </si>
  <si>
    <t>C</t>
  </si>
  <si>
    <t>RTT</t>
  </si>
  <si>
    <t>Vacances</t>
  </si>
  <si>
    <t>NOM</t>
  </si>
  <si>
    <t>Symbols</t>
  </si>
  <si>
    <t>Les fonctions sur la semaine et les jours ouvrés dans Excel</t>
  </si>
  <si>
    <t>https://www.youtube.com/watch?v=rxmjn1E2xsw&amp;ab_channel=excelexercice</t>
  </si>
  <si>
    <t>https://people.unil.ch/jacquelinefrey/2016/04/excel-creer-un-planning-avec-mise-en-forme-conditionnelle/#:~:text=Solution%20%3A%20utiliser%20la%20mise%20en%20forme%20conditionnelle&amp;text=%3B2%20%3D%20cet%20argument%20permet%20d,%3D%20dimanche%2C%202%20%3D%20lundi%E2%80%A6</t>
  </si>
  <si>
    <t>Si la date en ligne 1 est un samedi ou un dimanche, la condition sera vraie et la mise en forme sera appliquée à la colonne.</t>
  </si>
  <si>
    <t>les nombres de jours de la semaine sont soit de 1 à 7 ou 0 à 6</t>
  </si>
  <si>
    <t>type de retour est omis ou 1: le dimanche est 1 et le samedi est 7</t>
  </si>
  <si>
    <t>est 2: le lundi est 1 et le dimanche est 7</t>
  </si>
  <si>
    <t>est 3: le lundi est 0 et le dimanche est 6</t>
  </si>
  <si>
    <t>https://forum.pcastuces.com/colorier_une_cellule_selon_jour_semaine_excel-f23s38096.htm</t>
  </si>
  <si>
    <t>https://www.youtube.com/watch?v=9J8ow4HzAOg&amp;ab_channel=DocteurExcel</t>
  </si>
  <si>
    <t>https://www.youtube.com/watch?v=NQTVwwUi9Xw&amp;ab_channel=K%C3%A9vinBrundu</t>
  </si>
  <si>
    <t>https://www.youtube.com/watch?v=FnDOZyLVQok&amp;ab_channel=FILIM</t>
  </si>
  <si>
    <t>https://www.youtube.com/watch?v=By-eQftnpHU&amp;ab_channel=DocteurExcel</t>
  </si>
  <si>
    <t>https://forum.excel-pratique.com/excel/fonction-si-et-jour-de-semaine-t29868.html</t>
  </si>
  <si>
    <t>https://www.developpez.net/forums/d1380028/logiciels/microsoft-office/excel/formule-afficher-jour-semaine/</t>
  </si>
  <si>
    <t>https://www.excel-exercice.com/jours-de-semaine-et-jours-ouvres/</t>
  </si>
  <si>
    <t>http://www.docexcel.com/joursem-1483</t>
  </si>
  <si>
    <t>https://people.unil.ch/jacquelinefrey/2016/04/excel-creer-un-planning-avec-mise-en-forme-conditionnelle/</t>
  </si>
  <si>
    <t>https://www.excel-exercice.com/fonction-si/</t>
  </si>
  <si>
    <t>https://www.excel-exercice.com/creation-dun-calendrier-automatique/</t>
  </si>
  <si>
    <t>https://www.excel-exercice.com/changer-la-couleur-des-weekends/</t>
  </si>
  <si>
    <t>https://www.lecfomasque.com/excel-utiliser-le-format-conditionnel-pour-mettre-en-evidence-les-journees-du-week-end/</t>
  </si>
  <si>
    <t>https://www.excel-pratique.com/fr/cours/excel_mises_en_forme_conditionnelles_exemples3</t>
  </si>
  <si>
    <t>https://www.youtube.com/watch?v=dXgRl40cd0I&amp;ab_channel=TutoDeRien</t>
  </si>
  <si>
    <t>JANVIER</t>
  </si>
  <si>
    <t>T</t>
  </si>
  <si>
    <t>total récup</t>
  </si>
  <si>
    <t>total maladie</t>
  </si>
  <si>
    <t>total congés</t>
  </si>
  <si>
    <t>SEPTEMBRE</t>
  </si>
  <si>
    <t>Août</t>
  </si>
  <si>
    <t>JUILLET</t>
  </si>
  <si>
    <t>OCTOBRE</t>
  </si>
  <si>
    <t>NOVEMBRE</t>
  </si>
  <si>
    <t>MAI</t>
  </si>
  <si>
    <t>JUIN</t>
  </si>
  <si>
    <t>AVRIL</t>
  </si>
  <si>
    <t>MARS</t>
  </si>
  <si>
    <t>Février</t>
  </si>
  <si>
    <t>Décembre</t>
  </si>
  <si>
    <t>pour Février - Août et Décembre ne pas oublier de mettre l'accent pour éviter l'erreur d'affichage</t>
  </si>
  <si>
    <t>Auteur :</t>
  </si>
  <si>
    <t>Mois du début</t>
  </si>
  <si>
    <t>Gestion des ABSENCES</t>
  </si>
  <si>
    <t>Calendrier avec repos fixes - Samedi - Dimanche</t>
  </si>
  <si>
    <t>Mise à jour du :</t>
  </si>
  <si>
    <t>C:\Documents and Settings\Joel\Mes documents\Documents Excel\Projet en cours\[Gestion du temps manuel 2007.xls]Positionnement 2007</t>
  </si>
  <si>
    <t>HORAIRES</t>
  </si>
  <si>
    <t>BATTERIE : habituer les cuisiniers à trier et envoyer le "peu sale" en machine convoyeur</t>
  </si>
  <si>
    <t>1 = pause 30 minutes</t>
  </si>
  <si>
    <t>Aide chaine plateaux</t>
  </si>
  <si>
    <t>Aide operculage</t>
  </si>
  <si>
    <t>Aide diététique - préparation des pesées- mixés du week-end</t>
  </si>
  <si>
    <t>Nettoyage échelles et matériels cuisine</t>
  </si>
  <si>
    <t>Aide préparation hors d'œuvres</t>
  </si>
  <si>
    <t>Mise en place cuisine</t>
  </si>
  <si>
    <t xml:space="preserve">Aide chaine plateaux et cuisine - équivalent à 2 jours de 4H contrat 20H/sem. </t>
  </si>
  <si>
    <t xml:space="preserve">Diététique </t>
  </si>
  <si>
    <t>Préparations mixées du jour-responsable des pesées-des régimes : Hopital- V240 et sites extérieurs.Mises en place produits du lendemain (pâtes-riz-semoule-légumes etc..) en coordination avec la production chaude.</t>
  </si>
  <si>
    <t>Aide plonge batterie et/ou rénovation des locaux</t>
  </si>
  <si>
    <t>4° Poste de la chaine plateaux : mise en place des H.O.</t>
  </si>
  <si>
    <t>3° Poste de la chaine plateaux : mise en place produits laitiers - fruits - compotes</t>
  </si>
  <si>
    <t>1° Poste de la chaine plateaux : LEADER Responsable qualité et organisation de la journée</t>
  </si>
  <si>
    <t>Préparation des mixés pasteurisés  - équivalent à 2 jours de 4H contrat 20H/sem.</t>
  </si>
  <si>
    <t>ou 6H00 selon contrat. Désincrustation - désinfection matériels et locaux</t>
  </si>
  <si>
    <t>Remplaçant du N° 6 avec 1H de batterie seulement et pas de plonge après midi</t>
  </si>
  <si>
    <t>N° des POSTES</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</si>
  <si>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</si>
  <si>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</si>
  <si>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</si>
  <si>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</si>
  <si>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</si>
  <si>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</si>
  <si>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</si>
  <si>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</si>
  <si>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</si>
  <si>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</si>
  <si>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</si>
  <si>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</si>
  <si>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</si>
  <si>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</si>
  <si>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</si>
  <si>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</si>
  <si>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</si>
  <si>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</si>
  <si>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</si>
  <si>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</si>
  <si>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</si>
  <si>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</si>
  <si>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</si>
  <si>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</si>
  <si>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</si>
  <si>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</si>
  <si>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</si>
  <si>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Calendrier avec travail les W.Ends</t>
  </si>
  <si>
    <t>Saisissez l'année</t>
  </si>
  <si>
    <t>Novembre</t>
  </si>
  <si>
    <t>V</t>
  </si>
  <si>
    <t>X</t>
  </si>
  <si>
    <t>Z</t>
  </si>
  <si>
    <t>F</t>
  </si>
  <si>
    <t>elles vous permettent seulement de planifier les Présences par Agent pour une impression papier</t>
  </si>
  <si>
    <t>Le calendrier n'affiche que les absences</t>
  </si>
  <si>
    <t xml:space="preserve">NB- Je n'utilise jamais de second paramètre de la fonction JOURSEM, estimant que c'est une source d'erreur dans la mesure </t>
  </si>
  <si>
    <t xml:space="preserve">où les besoins conduisent très souvent à transformer la série de 1 à 7 renvoyée par JOURSEM en série de 0 à 6 (avec MOD) </t>
  </si>
  <si>
    <t>et ce en plaçant le 0 selon le cas traité sur n'importe quel jour de la semaine. Il n'y a donc aucun obstacle à travailler</t>
  </si>
  <si>
    <t xml:space="preserve"> sur la série native (que l'on transforme...) Ce qui n'impacte en rien la considération que le premier jour de la semaine </t>
  </si>
  <si>
    <t>soit le lundi (on n'utilise pas de numéro pour le désigner !)</t>
  </si>
  <si>
    <t xml:space="preserve">le chiffre 2 est mis comme paramètre du type de retour de la fonction joursem. En effet cette fonction a été développé au USA. </t>
  </si>
  <si>
    <t>La-bas la semaine commence le dimanche alors qu'en France elle commence le lundi</t>
  </si>
  <si>
    <r>
      <t xml:space="preserve">Plonge batterie -vaisselle plateaux -local allotissement etc </t>
    </r>
    <r>
      <rPr>
        <i/>
        <sz val="12"/>
        <rFont val="Calibri"/>
        <family val="2"/>
        <scheme val="minor"/>
      </rPr>
      <t>(voir fiche ORT)</t>
    </r>
  </si>
  <si>
    <r>
      <t xml:space="preserve">Plonge batterie - vaisselle plateaux - ménage etc. </t>
    </r>
    <r>
      <rPr>
        <i/>
        <sz val="12"/>
        <rFont val="Calibri"/>
        <family val="2"/>
        <scheme val="minor"/>
      </rPr>
      <t>(voir fiche ORT)</t>
    </r>
  </si>
  <si>
    <r>
      <t xml:space="preserve">SAMEDI - vaisselle plateaux + les autres tâches </t>
    </r>
    <r>
      <rPr>
        <i/>
        <sz val="12"/>
        <rFont val="Calibri"/>
        <family val="2"/>
        <scheme val="minor"/>
      </rPr>
      <t xml:space="preserve"> (voir fiche ORT) avec le dimanche = 2 j.de 6H</t>
    </r>
  </si>
  <si>
    <r>
      <t xml:space="preserve">DIMANCHE - vaisselle plateaux + les autres tâches </t>
    </r>
    <r>
      <rPr>
        <i/>
        <sz val="12"/>
        <rFont val="Calibri"/>
        <family val="2"/>
        <scheme val="minor"/>
      </rPr>
      <t xml:space="preserve"> (voir fiche ORT) avec le samedi = 2 j.de 6H</t>
    </r>
  </si>
  <si>
    <r>
      <t>MARDI - VENDREDI  :</t>
    </r>
    <r>
      <rPr>
        <u/>
        <sz val="12"/>
        <rFont val="Calibri"/>
        <family val="2"/>
        <scheme val="minor"/>
      </rPr>
      <t xml:space="preserve"> pas de plonge batterie</t>
    </r>
    <r>
      <rPr>
        <sz val="12"/>
        <rFont val="Calibri"/>
        <family val="2"/>
        <scheme val="minor"/>
      </rPr>
      <t xml:space="preserve"> ménage salle à manger en échange prévenir le N°13 (plongeuse)</t>
    </r>
  </si>
  <si>
    <t>Plonge batterie 35H/sem.</t>
  </si>
  <si>
    <t>Plonge batterie remplaçante  - équivalent à 2 jours de 4H contrat 20H/sem.</t>
  </si>
  <si>
    <t>Échelle produits laitiers - nettoyage du/ ou avec le N° 23 sans le ménage</t>
  </si>
  <si>
    <t>2° Poste de la chaine plateaux : seconde le N°21 dans ses tâches - préparation des "vracs"</t>
  </si>
  <si>
    <t>Mises en place des postes- contrôle des quantités des produits manquants et à servir au menu - des vracs du jour et du lendemain - Vérification des plateaux- et des récap. - responsable hygiène et du bon fonctionnement de l'équipe. Le N° 21 est aidé par le N° 20</t>
  </si>
  <si>
    <t>Remplacement du N°23 les LUNDI - MERCREDI - JEUDI - avec ménage minimum</t>
  </si>
  <si>
    <t>Remplacement du N°23 les MARDI - VENDREDI - Pas de batterie mais ménage complet</t>
  </si>
  <si>
    <r>
      <t>Désinfection des conteneurs déchets et de leur local.</t>
    </r>
    <r>
      <rPr>
        <b/>
        <u/>
        <sz val="12"/>
        <rFont val="Calibri"/>
        <family val="2"/>
        <scheme val="minor"/>
      </rPr>
      <t>ET</t>
    </r>
    <r>
      <rPr>
        <sz val="12"/>
        <rFont val="Calibri"/>
        <family val="2"/>
        <scheme val="minor"/>
      </rPr>
      <t xml:space="preserve"> Décapages ponctuels (voir liste- fréquences Mr Marcel) - </t>
    </r>
    <r>
      <rPr>
        <b/>
        <u/>
        <sz val="12"/>
        <rFont val="Calibri"/>
        <family val="2"/>
        <scheme val="minor"/>
      </rPr>
      <t>(vous pouvez également faire les décapages avec l'aide du N°24 puis l'aider dans son travail après)</t>
    </r>
  </si>
  <si>
    <t>DATE($C$2;MOIS(1&amp;"/"&amp;C9);1)</t>
  </si>
  <si>
    <t>FIN.MOIS(B8;0)</t>
  </si>
  <si>
    <t>SIERREUR(JOUR(C8);"")</t>
  </si>
  <si>
    <t>SI(C8="";"";JOURSEM(C8;1))</t>
  </si>
  <si>
    <t>SIERREUR(SI(C8+1&gt;$B$9;"";C8+1);"")</t>
  </si>
  <si>
    <t>SIERREUR(JOUR(D8);"")</t>
  </si>
  <si>
    <t>SI(D8="";"";JOURSEM(D8;1))</t>
  </si>
  <si>
    <t>SOMME(B10;B15;B20;B25;B30;B35;B40;B45;B50;B55;B60;B65)</t>
  </si>
  <si>
    <t>SOMME(B11;B16;B21;B26;B31;B36;B41;B46;B51;B56;B61;B66)</t>
  </si>
  <si>
    <t>SOMME(B12;B17;B22;B27;B32;B37;B42;B47;B52;B57;B62;B67)</t>
  </si>
  <si>
    <t>NB.SI(C12:AG12;$G$4)</t>
  </si>
  <si>
    <t>NB.SI(C12:AG12;$G$5)</t>
  </si>
  <si>
    <t>NB.SI(C12:AG12;$G$6)</t>
  </si>
  <si>
    <t>Quelques liens et Formules</t>
  </si>
  <si>
    <t>CUISINE CENTRALE 17   Prévisions Hebdomadaires 2005</t>
  </si>
  <si>
    <t>Formule Matricielle &gt;  SI(OU(C11=1;C11=7);"";SIERREUR(INDEX($AI$70:$AL$113;EQUIV(1;(C8&gt;=$AK$70:$AK$113)*($AL$70:$AL$113&gt;=C8)*($AI$70:$AI$113=$U$2);0);2);""))</t>
  </si>
  <si>
    <t>Ces documents sont les fruits :</t>
  </si>
  <si>
    <t>de mon expérience et des utilitaires de la restauration collective</t>
  </si>
  <si>
    <t>de documents mis sur le net par des passionnés</t>
  </si>
  <si>
    <t>Je les mets à disposition des professionnels et des jeunes cuisiniers en formation .</t>
  </si>
  <si>
    <t>A chacun de faire évoluer ces documents et de les modifier pour son utilisation.......</t>
  </si>
  <si>
    <t>Annule ou remplace les versions précédentes</t>
  </si>
  <si>
    <t>CONTENU DU CLASSEUR</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</si>
  <si>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</si>
  <si>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</si>
  <si>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</si>
  <si>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</si>
  <si>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</si>
  <si>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</si>
  <si>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</si>
  <si>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</si>
  <si>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</si>
  <si>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</si>
  <si>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</si>
  <si>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</si>
  <si>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</si>
  <si>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</si>
  <si>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</si>
  <si>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</si>
  <si>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</si>
  <si>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</si>
  <si>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</si>
  <si>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</si>
  <si>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</si>
  <si>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</si>
  <si>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</si>
  <si>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</si>
  <si>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</si>
  <si>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</si>
  <si>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❶</t>
  </si>
  <si>
    <t>❷</t>
  </si>
  <si>
    <t>❸</t>
  </si>
  <si>
    <t>❹</t>
  </si>
  <si>
    <t>❺</t>
  </si>
  <si>
    <t>❻</t>
  </si>
  <si>
    <t>❼</t>
  </si>
  <si>
    <t>❽</t>
  </si>
  <si>
    <t>❾</t>
  </si>
  <si>
    <t>❿</t>
  </si>
  <si>
    <t>⓫</t>
  </si>
  <si>
    <t>⓬</t>
  </si>
  <si>
    <t>⓭</t>
  </si>
  <si>
    <t>⓮</t>
  </si>
  <si>
    <t>⓯</t>
  </si>
  <si>
    <t>⓰</t>
  </si>
  <si>
    <t>⓱</t>
  </si>
  <si>
    <t>⓲</t>
  </si>
  <si>
    <t>⓳</t>
  </si>
  <si>
    <t>⓴</t>
  </si>
  <si>
    <t>2</t>
  </si>
  <si>
    <t>3</t>
  </si>
  <si>
    <t>4</t>
  </si>
  <si>
    <t>5</t>
  </si>
  <si>
    <t>6</t>
  </si>
  <si>
    <t>7</t>
  </si>
  <si>
    <t>8</t>
  </si>
  <si>
    <t>9</t>
  </si>
  <si>
    <t>10</t>
  </si>
  <si>
    <t>11</t>
  </si>
  <si>
    <t>12</t>
  </si>
  <si>
    <t>13</t>
  </si>
  <si>
    <t>14</t>
  </si>
  <si>
    <t>15</t>
  </si>
  <si>
    <t>16</t>
  </si>
  <si>
    <t>17</t>
  </si>
  <si>
    <t>18</t>
  </si>
  <si>
    <t>19</t>
  </si>
  <si>
    <t>20</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</si>
  <si>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</si>
  <si>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</si>
  <si>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</si>
  <si>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</si>
  <si>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des caractères spéciaux</t>
  </si>
  <si>
    <t>!</t>
  </si>
  <si>
    <t>"</t>
  </si>
  <si>
    <t>#</t>
  </si>
  <si>
    <t>$</t>
  </si>
  <si>
    <t>%</t>
  </si>
  <si>
    <t>&amp;</t>
  </si>
  <si>
    <t>@</t>
  </si>
  <si>
    <t>‰</t>
  </si>
  <si>
    <t>≈</t>
  </si>
  <si>
    <t>±</t>
  </si>
  <si>
    <t>»</t>
  </si>
  <si>
    <t>¼</t>
  </si>
  <si>
    <t>½</t>
  </si>
  <si>
    <t>¾</t>
  </si>
  <si>
    <t>ø</t>
  </si>
  <si>
    <t>►</t>
  </si>
  <si>
    <t>◄</t>
  </si>
  <si>
    <t>▲</t>
  </si>
  <si>
    <t>▼</t>
  </si>
  <si>
    <t>Φ</t>
  </si>
  <si>
    <t>0.00\ " cm³"</t>
  </si>
  <si>
    <t>Format | cellule | personnalisé | 0" cm³"</t>
  </si>
  <si>
    <t>ou copier-coller</t>
  </si>
  <si>
    <t>t</t>
  </si>
  <si>
    <t>u</t>
  </si>
  <si>
    <t>le ² se fait en tapant alt+0178</t>
  </si>
  <si>
    <t xml:space="preserve">m² </t>
  </si>
  <si>
    <t xml:space="preserve">M² </t>
  </si>
  <si>
    <t xml:space="preserve">cm² </t>
  </si>
  <si>
    <t>²</t>
  </si>
  <si>
    <t>Police Wingdings 3</t>
  </si>
  <si>
    <t>le ³ se fait en tapant alt+0179</t>
  </si>
  <si>
    <t>m³ </t>
  </si>
  <si>
    <t>M³ </t>
  </si>
  <si>
    <t>cm³ </t>
  </si>
  <si>
    <t>³</t>
  </si>
  <si>
    <t>q</t>
  </si>
  <si>
    <t>p</t>
  </si>
  <si>
    <t>lien &gt;</t>
  </si>
  <si>
    <t>Les unités pifométriques</t>
  </si>
  <si>
    <t>Je remercie chaleureusement les internautes passionnés qui élaborent et proposent des formules et fonctions imbriquées</t>
  </si>
  <si>
    <t>Quelques sites Excel pour vous aider à créer vos documents</t>
  </si>
  <si>
    <t>liens &gt;</t>
  </si>
  <si>
    <t xml:space="preserve">https://www.excel-exercice.com/ </t>
  </si>
  <si>
    <t xml:space="preserve">Frédéric LE GUEN -  </t>
  </si>
  <si>
    <t>https://www.youtube.com/user/ExcelExercice/videos</t>
  </si>
  <si>
    <t>https://www.youtube.com/watch?v=e2kzRDcW5iI</t>
  </si>
  <si>
    <t xml:space="preserve">Formation informatique avec Cedric - </t>
  </si>
  <si>
    <t>https://www.youtube.com/c/K%C3%A9vinBrundu/videos</t>
  </si>
  <si>
    <t xml:space="preserve">Kévin Brundu - </t>
  </si>
  <si>
    <t>https://support.microsoft.com/fr-fr/excel</t>
  </si>
  <si>
    <t xml:space="preserve">Aide &amp; apprentissage d'Excel - </t>
  </si>
  <si>
    <t>https://www.youtube.com/c/TutoDeRien/playlists</t>
  </si>
  <si>
    <t xml:space="preserve">Tuto De Rien - </t>
  </si>
  <si>
    <t>https://www.excel-exercice.com/somme-si-ens/</t>
  </si>
  <si>
    <t>Fonction SOMME.SI.ENS</t>
  </si>
  <si>
    <t>https://www.youtube.com/channel/UCK4qfUuh9kpBByJFIMBPTtA/playlists</t>
  </si>
  <si>
    <t xml:space="preserve">prof couillon - </t>
  </si>
  <si>
    <t>Différence entre un fichier XLS et XLSX (ou XLSM)</t>
  </si>
  <si>
    <t>supprimer les #N/A et les #DIV/0! d'un tableau Excel</t>
  </si>
  <si>
    <t>https://www.youtube.com/watch?v=YfGrccEQGKk</t>
  </si>
  <si>
    <t>https://www.youtube.com/watch?v=li4XNespLxg</t>
  </si>
  <si>
    <t>Trouver les liens externes d’un classeur</t>
  </si>
  <si>
    <t>Forum Bureautique</t>
  </si>
  <si>
    <t>Alternatives à Microsoft Excel : 5 programmes gratuits et convaincants</t>
  </si>
  <si>
    <t>Excel SI-ALORS: comment fonctionne la formule SI ?</t>
  </si>
  <si>
    <t>Les 20 meilleurs Tricks Mathématiques</t>
  </si>
  <si>
    <t>Lien &gt;</t>
  </si>
  <si>
    <t>https://support.office.com/fr-fr/article/combiner-le-texte-de-deux-cellules-ou-plus-en-une-cellule-81ba0946-ce78-42ed-b3c3-21340eb164a6</t>
  </si>
  <si>
    <t>.</t>
  </si>
  <si>
    <t>https://www.youtube.com/watch?v=yk_ypXvUaHo</t>
  </si>
  <si>
    <t>Excel - fonctions date/heure</t>
  </si>
  <si>
    <t>FENÊTRE EXCEL</t>
  </si>
  <si>
    <t>Formation Excel 2016 Faire un tableau</t>
  </si>
  <si>
    <t>Fonction INDIRECT - Exemples d'application</t>
  </si>
  <si>
    <t>http://www.mdf-xlpages.com/modules/publisher/item.php?itemid=91</t>
  </si>
  <si>
    <t>Transmettez votre savoir et votre savoir faire  peu importe qui le récupère; pourvu qu'un plus grand nombre puisse en bénéficier.</t>
  </si>
  <si>
    <t>Joël LEBOUCHER …Octobre 2015</t>
  </si>
  <si>
    <t>un lien rompu ou devenu obsolète…..pas de panique…Google saura vous retrouver un document équivalent</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</si>
  <si>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</si>
  <si>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</si>
  <si>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</si>
  <si>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 xml:space="preserve"> &gt;</t>
  </si>
  <si>
    <t>http://www.excel-downloads.com/remository/Download/Professionnels/Planification-et-gestion-de-projets/SPACE.html</t>
  </si>
  <si>
    <t xml:space="preserve">Créé le 23/03/2008  </t>
  </si>
  <si>
    <t>Dernière mise à jour :</t>
  </si>
  <si>
    <t xml:space="preserve"> 16 Juin 2008 :</t>
  </si>
  <si>
    <t>Du :</t>
  </si>
  <si>
    <t>Couleur document : BRUN</t>
  </si>
  <si>
    <t xml:space="preserve">Rédigé par : </t>
  </si>
  <si>
    <t xml:space="preserve">Validé par : </t>
  </si>
  <si>
    <t>Champ d’application ou circuit</t>
  </si>
  <si>
    <t>QUOI</t>
  </si>
  <si>
    <t>PG</t>
  </si>
  <si>
    <t>OBJET</t>
  </si>
  <si>
    <t xml:space="preserve">PRÉVISION TEMPS DE TRAVAIL ANNÉE 2007 SELON QUOTITÉ  100% </t>
  </si>
  <si>
    <t>Page N°</t>
  </si>
  <si>
    <t>COMPLÉMENT</t>
  </si>
  <si>
    <t>Imprimé le :</t>
  </si>
  <si>
    <t>Base  par jour</t>
  </si>
  <si>
    <t>REPOS FIXES</t>
  </si>
  <si>
    <t>REPOS VARIABLES AVEC</t>
  </si>
  <si>
    <t>10 à 14</t>
  </si>
  <si>
    <t>15 à 19</t>
  </si>
  <si>
    <t>Dimanches ou J.F travaillés</t>
  </si>
  <si>
    <t>Nb de jours annuels</t>
  </si>
  <si>
    <t>Repos hebdomadaires</t>
  </si>
  <si>
    <t>Congés annuels</t>
  </si>
  <si>
    <t>Jours hors saison</t>
  </si>
  <si>
    <t>Jours fractionnement</t>
  </si>
  <si>
    <t>Sujétion</t>
  </si>
  <si>
    <t xml:space="preserve">Fériés </t>
  </si>
  <si>
    <t>Total Absences</t>
  </si>
  <si>
    <t>Journée solidarité</t>
  </si>
  <si>
    <t>Vous pourriez travailler</t>
  </si>
  <si>
    <t>Prévision RTT</t>
  </si>
  <si>
    <t>Équivalence heures</t>
  </si>
  <si>
    <t>Total jours à travailler</t>
  </si>
  <si>
    <t>Amplitude journalière</t>
  </si>
  <si>
    <t>Amplitude hebdomadaire</t>
  </si>
  <si>
    <t>Total semaines de 5 J travaillées</t>
  </si>
  <si>
    <t>Annuel</t>
  </si>
  <si>
    <t>Hebdomadaire</t>
  </si>
  <si>
    <t>Quotidienne</t>
  </si>
  <si>
    <t>Heures /An</t>
  </si>
  <si>
    <t>Formation préciser dans"observations…" la formation suivie</t>
  </si>
  <si>
    <t>Ex</t>
  </si>
  <si>
    <t>Congé Exceptionnel</t>
  </si>
  <si>
    <t>Am</t>
  </si>
  <si>
    <t>Arrêt maladie</t>
  </si>
  <si>
    <t>At</t>
  </si>
  <si>
    <t>Accident du travail</t>
  </si>
  <si>
    <t>Aap</t>
  </si>
  <si>
    <t>Absence autorisée payée</t>
  </si>
  <si>
    <t>D ? !</t>
  </si>
  <si>
    <t>Demande de congés à valider</t>
  </si>
  <si>
    <t>Récup.</t>
  </si>
  <si>
    <t xml:space="preserve">Récupération </t>
  </si>
  <si>
    <t>Férié</t>
  </si>
  <si>
    <t>Réduction du T.de Travail</t>
  </si>
  <si>
    <t>Rh</t>
  </si>
  <si>
    <t>Repos Hebdomadaire</t>
  </si>
  <si>
    <t>Compensateur des jours Fériés</t>
  </si>
  <si>
    <t>CHS</t>
  </si>
  <si>
    <t>Congé Annuel Hors saison</t>
  </si>
  <si>
    <t>CA</t>
  </si>
  <si>
    <t>Congé Annuel</t>
  </si>
  <si>
    <t>SHYTHESE D'EFFECTIF PRESENT SEMAINE ET WEEK-END</t>
  </si>
  <si>
    <t>1 - Effectif nécessaire pour couvrir l'ensemble des postes de travail</t>
  </si>
  <si>
    <t>Semaine 25.5</t>
  </si>
  <si>
    <t>Fin de semaine : 6 dont 1 ou 2 horaires coupés.</t>
  </si>
  <si>
    <t>Besoins en ressources humaines intégrant l'ARTT ,  CALCUL DES COEFFICIENTS MULTIPLICATEURS</t>
  </si>
  <si>
    <t>Objectif : 19.92</t>
  </si>
  <si>
    <t>Cuisine centrale fonctionnant 5 jours sur 7; fermée les jours fériées et un mois en été</t>
  </si>
  <si>
    <t>nombre de jours travaillés par agent</t>
  </si>
  <si>
    <t>25.5 X 5 X 6 X 2 = 19.92 soit 20</t>
  </si>
  <si>
    <t>base horaire de travail</t>
  </si>
  <si>
    <t>h</t>
  </si>
  <si>
    <t>nombre de jours an</t>
  </si>
  <si>
    <t>jours</t>
  </si>
  <si>
    <t>moins</t>
  </si>
  <si>
    <t>AGENTS</t>
  </si>
  <si>
    <t>JOURS PAR SEMAINE</t>
  </si>
  <si>
    <t>Plus</t>
  </si>
  <si>
    <t>total absences</t>
  </si>
  <si>
    <t>JOURS SEMAINE (samedi et dimanche…chaine plateaux)</t>
  </si>
  <si>
    <t>total présence</t>
  </si>
  <si>
    <t>Divisé par</t>
  </si>
  <si>
    <t>non compris ABS/AM/AT</t>
  </si>
  <si>
    <t>jours par semaine</t>
  </si>
  <si>
    <t>nombre de jours d'ouverture de la cuisine centrale</t>
  </si>
  <si>
    <t>formule modifiée : (25.5 X5 ) +( 6X2 )</t>
  </si>
  <si>
    <t>soit 20 agents</t>
  </si>
  <si>
    <t>divisé par 7</t>
  </si>
  <si>
    <t>=</t>
  </si>
  <si>
    <t>nombre de jours haute saison</t>
  </si>
  <si>
    <t>nombre de jours basse saison</t>
  </si>
  <si>
    <t>COEFFICIENT MULTIPLICATEUR sur postes 5 jours sur 7</t>
  </si>
  <si>
    <t>ce coeff,ne tient pas compte des éventuels AM/AT et autres arrets</t>
  </si>
  <si>
    <t>divisé par :</t>
  </si>
  <si>
    <t>jours de présence</t>
  </si>
  <si>
    <t>20 X 2 RH = 54 RH + 20 X 7 = 27.71 soit 28</t>
  </si>
  <si>
    <t>égal</t>
  </si>
  <si>
    <t>Coefficient activités maximum</t>
  </si>
  <si>
    <t>Coefficient activités minimum</t>
  </si>
  <si>
    <t>multiplié par</t>
  </si>
  <si>
    <t>Repos Hebdomadaires</t>
  </si>
  <si>
    <t>RECAP :</t>
  </si>
  <si>
    <t>Poste 5 jours sur 7</t>
  </si>
  <si>
    <t>jours travaillés par agent</t>
  </si>
  <si>
    <t>jours d'ouverture de la cuisine</t>
  </si>
  <si>
    <t>jours de haute saison</t>
  </si>
  <si>
    <t>jours de basse saison</t>
  </si>
  <si>
    <t>Activité MAXImum</t>
  </si>
  <si>
    <t>142 jours de haute saison/ divisés par 193 jours travaillés par agent = 0,73</t>
  </si>
  <si>
    <t>Activité MINImum</t>
  </si>
  <si>
    <t>106 jours de haute saison/ divisés par 193 jours travaillés par agent = 0,55</t>
  </si>
  <si>
    <t>TABLEAU DES EFFECTIFS</t>
  </si>
  <si>
    <t>HAUTE SAISON</t>
  </si>
  <si>
    <t>BASSE SAISON</t>
  </si>
  <si>
    <t>TOTAL (1+2)</t>
  </si>
  <si>
    <t>FONCTION</t>
  </si>
  <si>
    <t>Jours travail par semaine</t>
  </si>
  <si>
    <t>Nb de postes 142J/An (1)</t>
  </si>
  <si>
    <t>Coeff.</t>
  </si>
  <si>
    <t>Nb agents par An</t>
  </si>
  <si>
    <t>Nb de postes 106J/An (2)</t>
  </si>
  <si>
    <t>magasin</t>
  </si>
  <si>
    <t>5/7</t>
  </si>
  <si>
    <t>préparations froides</t>
  </si>
  <si>
    <t>plongeur</t>
  </si>
  <si>
    <t>chauffeurs</t>
  </si>
  <si>
    <t>Total général</t>
  </si>
  <si>
    <t>HYPOTHESE des BESOINS en fonction du nombre d'heures travaillées</t>
  </si>
  <si>
    <t>Besoin en ETP</t>
  </si>
  <si>
    <t>Catégories</t>
  </si>
  <si>
    <t>N. de jours travaillés</t>
  </si>
  <si>
    <t>Jours de travail / An</t>
  </si>
  <si>
    <t>Nb heures/ Jour</t>
  </si>
  <si>
    <t>Nb Heures Maxi</t>
  </si>
  <si>
    <t>ETP</t>
  </si>
  <si>
    <t>Nb de postes à pourvoir</t>
  </si>
  <si>
    <t>Administration</t>
  </si>
  <si>
    <t>8 h</t>
  </si>
  <si>
    <t>Production conditionnement</t>
  </si>
  <si>
    <t>3. NOMBRE D'AGENTS NECESSAIRES AVEC LES REC*</t>
  </si>
  <si>
    <t>Logistique</t>
  </si>
  <si>
    <t>7/7</t>
  </si>
  <si>
    <t>8h</t>
  </si>
  <si>
    <t>Objectif : 420</t>
  </si>
  <si>
    <t>REC par an / Agent</t>
  </si>
  <si>
    <t>REC</t>
  </si>
  <si>
    <t xml:space="preserve">formule : </t>
  </si>
  <si>
    <t>28 x 15  RC</t>
  </si>
  <si>
    <t>*RC : Récupérations</t>
  </si>
  <si>
    <t>NOMBRE DE JOURS TRAVAILLES PAR AGENTS ….ENVIRON</t>
  </si>
  <si>
    <t>Objectif : 214</t>
  </si>
  <si>
    <t>365  - 104 - 32 - 15 = 214</t>
  </si>
  <si>
    <t>*CA.hiver</t>
  </si>
  <si>
    <t>* REC</t>
  </si>
  <si>
    <t xml:space="preserve">jours </t>
  </si>
  <si>
    <t>365 - 140</t>
  </si>
  <si>
    <t>261 - 32</t>
  </si>
  <si>
    <t>229 - 15</t>
  </si>
  <si>
    <t>Objectif : 1.96</t>
  </si>
  <si>
    <t>420 divisé par 214</t>
  </si>
  <si>
    <t>soit 2 agents pour les REC</t>
  </si>
  <si>
    <t>*CA : Congés  - *REC : Récupérations</t>
  </si>
  <si>
    <t>Si l'on compte des petites périodes de CA moins de 5 jours pour 28 agents avec RH + 2 périodes avec REC = 30 agents</t>
  </si>
  <si>
    <t>Objectif : 31</t>
  </si>
  <si>
    <t>*CA.</t>
  </si>
  <si>
    <t xml:space="preserve">divisé par </t>
  </si>
  <si>
    <t>soit + 1 agent = 31</t>
  </si>
  <si>
    <t>30 x 5</t>
  </si>
  <si>
    <t>150 divisé par 214</t>
  </si>
  <si>
    <t>Excel</t>
  </si>
  <si>
    <t xml:space="preserve">*CA : Congés  </t>
  </si>
  <si>
    <t>Nombre de jours travaillés par agent …environ</t>
  </si>
  <si>
    <t xml:space="preserve">30 X 5 CA = </t>
  </si>
  <si>
    <t>150 CA</t>
  </si>
  <si>
    <t>GESTION DES ABSENCES</t>
  </si>
  <si>
    <t>ATTENTION : ces cellules "T" ou "P" ne s'effacent pas avec la fonction calendrier</t>
  </si>
  <si>
    <t xml:space="preserve">(gomme) Collez cette cellule vide pour supprimer le contenu des cellules </t>
  </si>
  <si>
    <t>Ne rien saisir dans cette colonne</t>
  </si>
  <si>
    <t>Visuel</t>
  </si>
  <si>
    <t>Calendrier avec travail les W.Ends . Planning prévisionnel des journées travaillées</t>
  </si>
  <si>
    <t>Saisissez l'année cellule C2</t>
  </si>
  <si>
    <t>Saisissez Nom ou Prénom colonne B</t>
  </si>
  <si>
    <t>Saisissez le mois ligne 9</t>
  </si>
  <si>
    <t>Planifiez les jours prévisionnels de travail en collant T  ou P ou autre à votre convenance dans les cellules "marron"</t>
  </si>
  <si>
    <t>Positionnement Mensuel pour 15 Agents</t>
  </si>
  <si>
    <t>emilie</t>
  </si>
  <si>
    <t>amandine</t>
  </si>
  <si>
    <t>Calendrier avec repos fixes - Samedi - Dimanche . Planning prévisionnel des journées travaillées</t>
  </si>
  <si>
    <t>Vous pouvez aussi coller des postes numérotés "P" pour Poste</t>
  </si>
  <si>
    <t>Référence :</t>
  </si>
  <si>
    <t>Code (et/ou couleur)</t>
  </si>
  <si>
    <t>Classeur</t>
  </si>
  <si>
    <t>Code Document</t>
  </si>
  <si>
    <t>Version du document</t>
  </si>
  <si>
    <t>Année/Mois /Version</t>
  </si>
  <si>
    <t>Circuit :</t>
  </si>
  <si>
    <t>Page :</t>
  </si>
  <si>
    <t>Dernière révision:</t>
  </si>
  <si>
    <t>SIGLES DES ABSENCES- DES POSTES ET DES HORAIRES CORRESPONDANTS</t>
  </si>
  <si>
    <t>Affichage Calendaire</t>
  </si>
  <si>
    <t>sur fond Vert= Vac. Scolaires</t>
  </si>
  <si>
    <t xml:space="preserve">Cg </t>
  </si>
  <si>
    <t>Cumul général des jours pris</t>
  </si>
  <si>
    <t>Calendrier</t>
  </si>
  <si>
    <t xml:space="preserve">Cp </t>
  </si>
  <si>
    <t>Cumul des jours de présence</t>
  </si>
  <si>
    <t xml:space="preserve">Cs </t>
  </si>
  <si>
    <t>Cumul samedis</t>
  </si>
  <si>
    <t>Ecoles demain</t>
  </si>
  <si>
    <t xml:space="preserve">Cd </t>
  </si>
  <si>
    <t>Cumul dimanches</t>
  </si>
  <si>
    <t xml:space="preserve">Cn </t>
  </si>
  <si>
    <t>Cumul heures de nuit</t>
  </si>
  <si>
    <t>V. Scol.</t>
  </si>
  <si>
    <t>+ ?</t>
  </si>
  <si>
    <t>Heures complémentaires</t>
  </si>
  <si>
    <t xml:space="preserve">Cm </t>
  </si>
  <si>
    <t>Cumul des jours pris dans le mois</t>
  </si>
  <si>
    <t>+ -</t>
  </si>
  <si>
    <t>Heures à déduire (absence)</t>
  </si>
  <si>
    <t>Aan</t>
  </si>
  <si>
    <t>Absence autorisée non payée</t>
  </si>
  <si>
    <t xml:space="preserve">R </t>
  </si>
  <si>
    <t>Reste de jours à prendre</t>
  </si>
  <si>
    <t>Em</t>
  </si>
  <si>
    <t>Enfant malade</t>
  </si>
  <si>
    <t>Pm</t>
  </si>
  <si>
    <t>Parent malade</t>
  </si>
  <si>
    <t>Abs</t>
  </si>
  <si>
    <t>Absences Diverses</t>
  </si>
  <si>
    <t>Mat</t>
  </si>
  <si>
    <t>Maternité</t>
  </si>
  <si>
    <t>T?</t>
  </si>
  <si>
    <t>Travaille ou pas ?</t>
  </si>
  <si>
    <t>Acn</t>
  </si>
  <si>
    <t>Absence congé naissance</t>
  </si>
  <si>
    <t>Fin du contrat</t>
  </si>
  <si>
    <t>Journée travaillée Poste en fonction du menu  voir avec Contremaîtres</t>
  </si>
  <si>
    <t>Magasin</t>
  </si>
  <si>
    <t>Tournant</t>
  </si>
  <si>
    <t>Plonge</t>
  </si>
  <si>
    <t>Semaine</t>
  </si>
  <si>
    <t>Jeudi</t>
  </si>
  <si>
    <t>EC</t>
  </si>
  <si>
    <t xml:space="preserve">BESOIN EN CHAUFFEURS </t>
  </si>
  <si>
    <t xml:space="preserve">LIVR. ECOLES </t>
  </si>
  <si>
    <t>LUN</t>
  </si>
  <si>
    <t>MAR</t>
  </si>
  <si>
    <t>MER</t>
  </si>
  <si>
    <t>JEU</t>
  </si>
  <si>
    <t>VEN</t>
  </si>
  <si>
    <t>SAM</t>
  </si>
  <si>
    <t>DIM</t>
  </si>
  <si>
    <t>Lundi</t>
  </si>
  <si>
    <t>Mardi</t>
  </si>
  <si>
    <t>Mercredi</t>
  </si>
  <si>
    <t>Vendredi</t>
  </si>
  <si>
    <t>Samedi</t>
  </si>
  <si>
    <t>Dimanche</t>
  </si>
  <si>
    <t>Total Heures</t>
  </si>
  <si>
    <t>Horaires</t>
  </si>
  <si>
    <t>sans  Repas</t>
  </si>
  <si>
    <t>LUNDI   MARDI   MERCREDI   JEUDI   VENDREDI</t>
  </si>
  <si>
    <t>avec Repas</t>
  </si>
  <si>
    <t>Tous les jours de la SEMAINE</t>
  </si>
  <si>
    <t>Tous les Jours SAUF MERCREDI</t>
  </si>
  <si>
    <t>LUNDI   MERCREDI   JEUDI   VENDREDI</t>
  </si>
  <si>
    <t>OU</t>
  </si>
  <si>
    <t xml:space="preserve">COUPURE  </t>
  </si>
  <si>
    <t>Début:</t>
  </si>
  <si>
    <t>Fin:</t>
  </si>
  <si>
    <t>Pâques</t>
  </si>
  <si>
    <t>Assomption</t>
  </si>
  <si>
    <t>Armistice</t>
  </si>
  <si>
    <t>le 25 : Noel</t>
  </si>
  <si>
    <t xml:space="preserve">HORAIRES DE TRAVAIL DU PERSONNEL </t>
  </si>
  <si>
    <t xml:space="preserve"> Sont inclus:  le repas, 30 mn de 12h30 à 13h00 et la pause de 10 mn à 9h30</t>
  </si>
  <si>
    <t>HAUTE PRODUCTION : 7h18 par jour plus 0h30 de repas</t>
  </si>
  <si>
    <t>CUISINE</t>
  </si>
  <si>
    <t>Heure d'embauche et de débauche</t>
  </si>
  <si>
    <t>5 personnes</t>
  </si>
  <si>
    <t>Arrivée</t>
  </si>
  <si>
    <t>entre 6:00 et 7:00</t>
  </si>
  <si>
    <t>Chefs Cuisiniers</t>
  </si>
  <si>
    <t>6h00 / 13h48</t>
  </si>
  <si>
    <t>Départ</t>
  </si>
  <si>
    <t>entre 13:48 et 14:48</t>
  </si>
  <si>
    <t>30h00</t>
  </si>
  <si>
    <t>Cuisiniers</t>
  </si>
  <si>
    <t>7h00 / 14h48</t>
  </si>
  <si>
    <t>PLONGE</t>
  </si>
  <si>
    <t>1 personne</t>
  </si>
  <si>
    <t>Conditionnement froid</t>
  </si>
  <si>
    <t>Conditionnement chaud</t>
  </si>
  <si>
    <t>8h00 / 15h48</t>
  </si>
  <si>
    <t>CONDITIONNEMENT</t>
  </si>
  <si>
    <t>entre 7:00 et 8:00</t>
  </si>
  <si>
    <t>entre 14:48 et 15:48</t>
  </si>
  <si>
    <t>6h00 et 7h30 / 13h48 et 15h18</t>
  </si>
  <si>
    <t>CHAUFFEURS</t>
  </si>
  <si>
    <t>3 personnes</t>
  </si>
  <si>
    <t>Chauffeurs</t>
  </si>
  <si>
    <t>14:48 et 1 mercredi sur 2</t>
  </si>
  <si>
    <t>entre 8h30 et 9h00 / entre 16h18 et 16h48</t>
  </si>
  <si>
    <t>QUALITE</t>
  </si>
  <si>
    <t>1 personnes</t>
  </si>
  <si>
    <t>Maintenance</t>
  </si>
  <si>
    <t>Assurance Qualité</t>
  </si>
  <si>
    <t>MAGASIN</t>
  </si>
  <si>
    <t>2 personnes</t>
  </si>
  <si>
    <t>entre 6:00 et 7:30</t>
  </si>
  <si>
    <t>PERIODES DE BASSE PRODUCTION (Inclus)</t>
  </si>
  <si>
    <t>entre 13:48 et 15:18</t>
  </si>
  <si>
    <t>Du</t>
  </si>
  <si>
    <t xml:space="preserve">au </t>
  </si>
  <si>
    <t>MAINTENANCE*</t>
  </si>
  <si>
    <t>*Horaires fluctuants en fonction de la mission</t>
  </si>
  <si>
    <t>Secrétariat/Comptabilité</t>
  </si>
  <si>
    <t>BASSE PRODUCTION : 6H00 par jour plus 0,30 h de repas</t>
  </si>
  <si>
    <t>entre 8:30 et 9:00</t>
  </si>
  <si>
    <t>MAINTENANCE</t>
  </si>
  <si>
    <t>entre 16:18 et 16:48</t>
  </si>
  <si>
    <t>6h30 / 13h00</t>
  </si>
  <si>
    <t xml:space="preserve"> Sont inclus: le repas, 30 mn de 12h30 à 13h00 et la pause de 10 mn à 9h30</t>
  </si>
  <si>
    <t>Effectif variable en fonction de la période de l'année ( haute et basse production )</t>
  </si>
  <si>
    <t>Année de 254 jours travaillés ( 3 à 5 jours fériés seront travaillé pour des repas événementiels )</t>
  </si>
  <si>
    <t>Conditionnement Chaud / Froid</t>
  </si>
  <si>
    <t>7h00 / 13h30</t>
  </si>
  <si>
    <t>Le personnel de production absent est automatiquement remplacé par du personnel intérimaire</t>
  </si>
  <si>
    <t>*Heure d'arrivée entre 8:30 et 9:00</t>
  </si>
  <si>
    <t>8h00 / 14h30</t>
  </si>
  <si>
    <t>Ces horaires sont susceptibles de changements en fonction des besoins de l'entreprise</t>
  </si>
  <si>
    <t xml:space="preserve"> 6h30 / 13h00</t>
  </si>
  <si>
    <t>entre 8h 30 et 9h 00 / entre 15h00 et 15h30</t>
  </si>
  <si>
    <t xml:space="preserve">Le temps de déjeuner (1/2 heure), sera décompté en sus, </t>
  </si>
  <si>
    <t>sous réserve d'être appelé pour effectuer une mission complémentaire</t>
  </si>
  <si>
    <t xml:space="preserve">PLANNINGS CHAINE </t>
  </si>
  <si>
    <t>Rédigé par:</t>
  </si>
  <si>
    <t>Date de mise en application :</t>
  </si>
  <si>
    <t>Mise en Application JANVIER / Dernière révision : 18 JANVIER 2005</t>
  </si>
  <si>
    <t>Dernière révision :</t>
  </si>
  <si>
    <t>Validé par:</t>
  </si>
  <si>
    <t>Diffusion à :</t>
  </si>
  <si>
    <t>Chaine - Diététique - Ménage - Vaisselle - Plonge</t>
  </si>
  <si>
    <t>R04</t>
  </si>
  <si>
    <t>Récupération 2004</t>
  </si>
  <si>
    <t>CA04</t>
  </si>
  <si>
    <t>C.A.  Année précédente</t>
  </si>
  <si>
    <t>RH</t>
  </si>
  <si>
    <t xml:space="preserve">Repos Hebdomadaire </t>
  </si>
  <si>
    <t xml:space="preserve">PRÉVISIONNEL </t>
  </si>
  <si>
    <t>RTT?</t>
  </si>
  <si>
    <t xml:space="preserve">Équipe Chaine </t>
  </si>
  <si>
    <t>C4</t>
  </si>
  <si>
    <t>Plonge batterie semaine</t>
  </si>
  <si>
    <t>Plonge batterie samedi - dimanche</t>
  </si>
  <si>
    <t xml:space="preserve">Fin </t>
  </si>
  <si>
    <t>Diététique semaine</t>
  </si>
  <si>
    <t>Diététique samedi - dimanche</t>
  </si>
  <si>
    <t>Lavage plateaux matin</t>
  </si>
  <si>
    <t>Lavage plateaux après-midi</t>
  </si>
  <si>
    <t>Chaine + Nettoyage</t>
  </si>
  <si>
    <t>Responsable Chaine</t>
  </si>
  <si>
    <t>Ménage semaine</t>
  </si>
  <si>
    <t>Ménage samedi-dimanche</t>
  </si>
  <si>
    <t>Plonge + Ménage</t>
  </si>
  <si>
    <t>CUISINE CENTRALE 17</t>
  </si>
  <si>
    <t>ALBERT</t>
  </si>
  <si>
    <t>EMILE</t>
  </si>
  <si>
    <r>
      <t xml:space="preserve">Version </t>
    </r>
    <r>
      <rPr>
        <b/>
        <sz val="10"/>
        <rFont val="Calibri"/>
        <family val="2"/>
        <scheme val="minor"/>
      </rPr>
      <t>A</t>
    </r>
    <r>
      <rPr>
        <sz val="8"/>
        <rFont val="Calibri"/>
        <family val="2"/>
        <scheme val="minor"/>
      </rPr>
      <t xml:space="preserve">  JANVIER 2005</t>
    </r>
  </si>
  <si>
    <t>SÉLECTIONNEZ L’ANNÉE :</t>
  </si>
  <si>
    <t>Travaillé</t>
  </si>
  <si>
    <t>Moy. Jour</t>
  </si>
  <si>
    <t>NE PAS SUPPRIMER CES CALENDRIERS</t>
  </si>
  <si>
    <t>LEBOUCHER JOEL</t>
  </si>
  <si>
    <t>Calendrier avec formules matricielles</t>
  </si>
  <si>
    <t>Semaine du Lundi au Dimanche</t>
  </si>
  <si>
    <t>NB.jours pointages</t>
  </si>
  <si>
    <t>Année</t>
  </si>
  <si>
    <t>Mois</t>
  </si>
  <si>
    <t>Sem</t>
  </si>
  <si>
    <t>Début semaine 1: Dimanche, 2: Lundi</t>
  </si>
  <si>
    <t>H. semaine :</t>
  </si>
  <si>
    <t>COPIEZ/COLLEZ les logos dans le tableau ou saisissez des horaires</t>
  </si>
  <si>
    <t>Travail (jour travaillé)</t>
  </si>
  <si>
    <t>Compensateur de jour férié (si l'agent à travaiilé un jour férié = journée de récupération)</t>
  </si>
  <si>
    <t>Congés Annuels</t>
  </si>
  <si>
    <t>Réduction du Temps de Travail</t>
  </si>
  <si>
    <t>Arrêt Maladie</t>
  </si>
  <si>
    <t>Accident au Travail</t>
  </si>
  <si>
    <t>Heures de travail effectuées</t>
  </si>
  <si>
    <t xml:space="preserve">Vous pouvez créer vos logos; </t>
  </si>
  <si>
    <t xml:space="preserve">MAIS il faudra en coller un exemplaire devant chaque compteur mensuel </t>
  </si>
  <si>
    <t>en remplacement des logos qui ne vous conviennent pas</t>
  </si>
  <si>
    <t>Archivage PC</t>
  </si>
  <si>
    <t>Utilisé par par:</t>
  </si>
  <si>
    <t>Mise en Application Octobre 2015 / Dernière révision :5 octobre 2015</t>
  </si>
  <si>
    <t>Références</t>
  </si>
  <si>
    <t>Agents de la Cuisine Centrale</t>
  </si>
  <si>
    <t>PLANNING MENSUEL</t>
  </si>
  <si>
    <t>Ce document à été édité le :</t>
  </si>
  <si>
    <t>T1</t>
  </si>
  <si>
    <t>T2</t>
  </si>
  <si>
    <t>T3</t>
  </si>
  <si>
    <t>T4</t>
  </si>
  <si>
    <t>Ce sont des heures travaillées ( présence moins pause de 30mn)</t>
  </si>
  <si>
    <t>Albert</t>
  </si>
  <si>
    <t>Premier de l'An</t>
  </si>
  <si>
    <t>Jours Fériés</t>
  </si>
  <si>
    <t>Noël</t>
  </si>
  <si>
    <t>Emile</t>
  </si>
  <si>
    <t>Lundi de Pâques</t>
  </si>
  <si>
    <t>Fête du Travail</t>
  </si>
  <si>
    <t>Marcel</t>
  </si>
  <si>
    <t>Victoire 1945</t>
  </si>
  <si>
    <t>Ascension</t>
  </si>
  <si>
    <t>Romain</t>
  </si>
  <si>
    <t>Pentecôte</t>
  </si>
  <si>
    <t>Lundi de Pentecôte</t>
  </si>
  <si>
    <t>Fête Nationale</t>
  </si>
  <si>
    <t>Lucienne</t>
  </si>
  <si>
    <t>Toussaint</t>
  </si>
  <si>
    <t>Dorotée</t>
  </si>
  <si>
    <t>juliette</t>
  </si>
  <si>
    <t>amélie</t>
  </si>
  <si>
    <t>flora</t>
  </si>
  <si>
    <t>OBSERVATIONS :</t>
  </si>
  <si>
    <t>catherine</t>
  </si>
  <si>
    <t>adèle</t>
  </si>
  <si>
    <t>alice</t>
  </si>
  <si>
    <t>étienne</t>
  </si>
  <si>
    <t>marcel</t>
  </si>
  <si>
    <t>gérard</t>
  </si>
  <si>
    <t>françois</t>
  </si>
  <si>
    <t xml:space="preserve">                   FEUILLE INDIVIDUELLE PREVISIONNELLE DE POSITIONNEMENT                             </t>
  </si>
  <si>
    <t>TOTAL TRAVAILLÉ :</t>
  </si>
  <si>
    <t>JOURS</t>
  </si>
  <si>
    <t>Moy./Jour :</t>
  </si>
  <si>
    <t>LUNDI</t>
  </si>
  <si>
    <t>MARDI</t>
  </si>
  <si>
    <t>MERCREDI</t>
  </si>
  <si>
    <t>JEUDI</t>
  </si>
  <si>
    <t>VENDREDI</t>
  </si>
  <si>
    <t>SAMEDI</t>
  </si>
  <si>
    <t>DIMANCHE</t>
  </si>
  <si>
    <t>Total Semaine</t>
  </si>
  <si>
    <t>TOTAL D'HEURES TRAVAILLÉES</t>
  </si>
  <si>
    <t>Saisissez l'année cellule rouge B2</t>
  </si>
  <si>
    <t xml:space="preserve">Format de saisie : 07:30:00 </t>
  </si>
  <si>
    <t xml:space="preserve">Vous obtenez les totaux de présence </t>
  </si>
  <si>
    <t xml:space="preserve">le Nombe de jours de pointage </t>
  </si>
  <si>
    <t xml:space="preserve">et la moyenne d'heures effectuées </t>
  </si>
  <si>
    <t>SAISISSEZ L’ANNÉE :</t>
  </si>
  <si>
    <t>SI(JOUR(@Jan_Dim1)=1;"";SI(ET(ANNEE(@Jan_Dim1+1)=Année_Calendaire;MOIS(@Jan_Dim1+1)=1);@Jan_Dim1+1;""))</t>
  </si>
  <si>
    <t>Formule utilisée</t>
  </si>
  <si>
    <t>Saisissez l'année cellule rouge W12</t>
  </si>
  <si>
    <t>Saisissez le Nom cellule L14</t>
  </si>
  <si>
    <t>C.C.17.   Une équipe de professionnels au service du client</t>
  </si>
  <si>
    <t>Positionnement Prévisionnel - Annuel</t>
  </si>
  <si>
    <t>Bienvenue sur wikiHow, le site de tutoriels le plus reconnu d'internet</t>
  </si>
  <si>
    <t>EXCEL - Supprimer la protection</t>
  </si>
  <si>
    <r>
      <t xml:space="preserve">Version </t>
    </r>
    <r>
      <rPr>
        <b/>
        <sz val="10"/>
        <rFont val="Calibri"/>
        <family val="2"/>
        <scheme val="minor"/>
      </rPr>
      <t>A</t>
    </r>
    <r>
      <rPr>
        <sz val="8"/>
        <rFont val="Calibri"/>
        <family val="2"/>
        <scheme val="minor"/>
      </rPr>
      <t xml:space="preserve"> OCTOBRE 2015</t>
    </r>
  </si>
  <si>
    <t>Joël Leboucher</t>
  </si>
  <si>
    <t>Positionnement Mensuel avec estimation des heures</t>
  </si>
  <si>
    <t>Saisissez Noms ou Prénoms colonne B</t>
  </si>
  <si>
    <t>ORT  (Organisation Raisonnée du Travail)  Exemple d'Horaires ( "P" pour Poste)</t>
  </si>
  <si>
    <t xml:space="preserve">Vous pouvez coller d'autes logos ICI ligne 13 et ajuster les heures ligne 11 ccolonnes T à X </t>
  </si>
  <si>
    <t>Vous avez des logos disponibles colonne BJ</t>
  </si>
  <si>
    <r>
      <t xml:space="preserve">Plonge batterie -vaisselle plateaux -local allotissement etc </t>
    </r>
    <r>
      <rPr>
        <b/>
        <i/>
        <sz val="14"/>
        <rFont val="Calibri"/>
        <family val="2"/>
        <scheme val="minor"/>
      </rPr>
      <t>(voir fiche ORT)</t>
    </r>
  </si>
  <si>
    <r>
      <t xml:space="preserve">DIMANCHE - vaisselle plateaux + les autres tâches </t>
    </r>
    <r>
      <rPr>
        <b/>
        <i/>
        <sz val="14"/>
        <rFont val="Calibri"/>
        <family val="2"/>
        <scheme val="minor"/>
      </rPr>
      <t xml:space="preserve"> (voir fiche ORT) avec le samedi = 2 j.de 6H</t>
    </r>
  </si>
  <si>
    <r>
      <t>MARDI - VENDREDI  :</t>
    </r>
    <r>
      <rPr>
        <b/>
        <u/>
        <sz val="14"/>
        <rFont val="Calibri"/>
        <family val="2"/>
        <scheme val="minor"/>
      </rPr>
      <t xml:space="preserve"> pas de plonge batterie</t>
    </r>
    <r>
      <rPr>
        <b/>
        <sz val="14"/>
        <rFont val="Calibri"/>
        <family val="2"/>
        <scheme val="minor"/>
      </rPr>
      <t xml:space="preserve"> ménage salle à manger en échange prévenir le N°13 (plongeuse)</t>
    </r>
  </si>
  <si>
    <t>Applications Excel "Utilitaires"</t>
  </si>
  <si>
    <t>https://www.excel-pratique.com/fr/telechargements/utilitaires-c17</t>
  </si>
  <si>
    <t>J'ai toujours eu des soucis avec les noms lors de recopies sur d'autres classeurs.</t>
  </si>
  <si>
    <t>Mais vous pouvez le faire. A vous de faire évoluer ce document et de le distribuer sur le net.</t>
  </si>
  <si>
    <t>Bonne journée</t>
  </si>
  <si>
    <t>Joêl Leboucher  .  UPRT  Restauration collective</t>
  </si>
  <si>
    <t>Je n'ai plus envie de perdre du temps à régler ce problème</t>
  </si>
  <si>
    <t>les fonctions Excel retrouveront les infos</t>
  </si>
  <si>
    <t>ne vous souciez pas de l'ordre des noms</t>
  </si>
  <si>
    <t>collez les logos correspondants</t>
  </si>
  <si>
    <t>Saisissez les absences réelles</t>
  </si>
  <si>
    <t>ou planifiez les congés annuels pour votre équipe</t>
  </si>
  <si>
    <t>Saisissez Nom ou Prénom cellule U2</t>
  </si>
  <si>
    <t>Saisie Liste des agents et calendrier des absences</t>
  </si>
  <si>
    <t>AT</t>
  </si>
  <si>
    <t>Cp</t>
  </si>
  <si>
    <t>Que pouvez vous faire avec ce document</t>
  </si>
  <si>
    <t>remplacer ou effacer les Symbols</t>
  </si>
  <si>
    <t>ou planifiez les demandes de congés à valider sur l'année</t>
  </si>
  <si>
    <t>ne vous inquiétez pas de l'ordre de saisie, les fonctions excel feront le tri par agent et par mois</t>
  </si>
  <si>
    <t>pour effacer,copiez et collez une de ces cellules à la place</t>
  </si>
  <si>
    <t>saisissez l'année</t>
  </si>
  <si>
    <t>saisissez le nom  ou prénom de l'agent</t>
  </si>
  <si>
    <t>sur la feuille principale Gestion des ABSENCES</t>
  </si>
  <si>
    <t>Que pouvez vous faire avec ce document voir colonne C ligne 69</t>
  </si>
  <si>
    <t>Ne saisissez rien d'autre sur cette feuille remplie de fonctions</t>
  </si>
  <si>
    <t>Contrairement au Tuto en lien, je n'ai pas utilisé tous les noms pour sélectionner un groupe de cellules.</t>
  </si>
  <si>
    <t>SIERREUR(INDEX($AJ$15:$AM$114;EQUIV(1;(C8&gt;=$AL$15:$AL$114)*($AM$15:$AM$114&gt;=C8)*($AJ$15:$AJ$114=$U$2);0);2);"") - formule matricielle (ctrl+Maj+Entrée)</t>
  </si>
  <si>
    <t>Accident "du ou au" travail</t>
  </si>
  <si>
    <t>Ne laissez pas de ligne vide dans une liste</t>
  </si>
  <si>
    <t>Saisie Liste des agents et calendrier des absences ( ne saisissez rien colonne AO)</t>
  </si>
  <si>
    <t>remplacer les noms colonne AK ligne 14</t>
  </si>
  <si>
    <t>SEBASTIEN</t>
  </si>
  <si>
    <t>Compensateur j.Fériés</t>
  </si>
  <si>
    <t>Réduction T.Travail</t>
  </si>
  <si>
    <t>Demande congés à valider</t>
  </si>
  <si>
    <t>Absences payées</t>
  </si>
  <si>
    <t>Arrêts maladie</t>
  </si>
  <si>
    <t>Accidents Travail</t>
  </si>
  <si>
    <t>saisissez le mois,si vous souhaitez modifier l'ordre -  même si vous saisissez novembre en premier Excel s'y retrouvera</t>
  </si>
  <si>
    <t>Mises en formes conditionnelles</t>
  </si>
  <si>
    <t>N'utilisez que les symboles qui vous sont utiles</t>
  </si>
  <si>
    <t>49</t>
  </si>
  <si>
    <t>saisissez les absences sous cette forme  07/05/2020 - jj/mm/aaaa</t>
  </si>
  <si>
    <t>Liste des agents et calendrier des absences ligne 14</t>
  </si>
  <si>
    <t>A VOUS DE REDÉFINIR VOS POSTES</t>
  </si>
  <si>
    <t>Gestion ABSENCES et PRÉSENCES</t>
  </si>
  <si>
    <t>Planifiez les jours prévisionnels de travail en collant T  ou Numéro de Poste dans les cellules "marron"</t>
  </si>
  <si>
    <t>Copiez/Collez les Symbols colonne AL</t>
  </si>
  <si>
    <t>Collez T  dans les cellules "marron" lignes 13-19-25-31-37-43-49-55-67-73-79</t>
  </si>
  <si>
    <t>($AN$17:$AN$116&gt;=AG8)*($AK$17:$AK$116=$U$2);0);2);"")</t>
  </si>
  <si>
    <t>NE RIEN SAISIR DANS LES IGNES - 12-18-24-30-36-42-4854-60-66-72-78-    SIERREUR(INDEX($AK$17:$AN$116;EQUIV(1;(AG8&gt;=$AM$17:$AM$116)*</t>
  </si>
  <si>
    <t>sur la feuille principale Gestion des ABSENCES et planification des jours de présence</t>
  </si>
  <si>
    <t>planification des jours de présence</t>
  </si>
  <si>
    <t>(gomme) Collez cette cellule vide pour supprimer le contenu des cellules lignes "marron"</t>
  </si>
  <si>
    <t>NE RIEN SAISIR DANS LES IGNES - 12-18-24-30-36-42-4854-60-66-72-78-   formules matricielles</t>
  </si>
  <si>
    <t>Que pouvez vous faire avec ce document voir colonne C ligne 81</t>
  </si>
  <si>
    <t>Calendrier avec travail les W.Ends . + Planning prévisionnel journées de présence</t>
  </si>
  <si>
    <t>Les Absences s'affichent aussi les samedis et dimanches</t>
  </si>
  <si>
    <t>Calendrier avec repos fixes - Samedi - Dimanche. + Planning prévisionnel journées de présence</t>
  </si>
  <si>
    <t>la fonction RH à été supprimée puisque les repos sont fixes sur ce document</t>
  </si>
  <si>
    <t>remplacer les noms colonne AK ligne 16</t>
  </si>
  <si>
    <t>Les Absences ne s'affichent pas les week-end</t>
  </si>
  <si>
    <t>robert</t>
  </si>
  <si>
    <t>florence</t>
  </si>
  <si>
    <t>viviane</t>
  </si>
  <si>
    <t>nicolas</t>
  </si>
  <si>
    <t>jules</t>
  </si>
  <si>
    <t>odette</t>
  </si>
  <si>
    <t>yves</t>
  </si>
  <si>
    <t>didier</t>
  </si>
  <si>
    <t>isabelle</t>
  </si>
  <si>
    <t>martine</t>
  </si>
  <si>
    <t>maxime</t>
  </si>
  <si>
    <t>Saisissez les noms de vos 15 Agents</t>
  </si>
  <si>
    <t>pour les coller colonne B ou colonne AM</t>
  </si>
  <si>
    <t>Collez T  dans les cellules "marron" lignes 13-15-17-19-21-23-25-27-29-31-33-35-37-39-41</t>
  </si>
  <si>
    <t xml:space="preserve">NE RIEN SAISIR DANS LES IGNES - 12-14-16-18-20-22-24-26-28-30-32-34-36-38-40   </t>
  </si>
  <si>
    <t>Liste des agents et calendrier des absences ligne 19 colonne AM</t>
  </si>
  <si>
    <t>NE RIEN SAISIR DANS LES IGNES - 12-18-24-30-36-42-48-54-60-66-72-78-    SIERREUR(INDEX($AK$17:$AN$116;EQUIV(1;(AG8&gt;=$AM$17:$AM$116)*</t>
  </si>
  <si>
    <t>Copiez/Collez les Symbols colonne AN</t>
  </si>
  <si>
    <t>remplacer les noms colonne AM ligne 19</t>
  </si>
  <si>
    <t>saisissez le nom  ou prénom des agents colonne B</t>
  </si>
  <si>
    <t>ligne 9 - saisissez le mois qur vous souhaitez visualiser</t>
  </si>
  <si>
    <t>Que pouvez vous faire avec ce document voir colonne C ligne 43</t>
  </si>
  <si>
    <t>Les Absences ne s'affichent pas les samedis et dimanches</t>
  </si>
  <si>
    <t>ou saisissez des horaires</t>
  </si>
  <si>
    <t xml:space="preserve">COPIEZ/COLLEZ les logos dans les cellules (fond or) du tableau </t>
  </si>
  <si>
    <t>Format de saisie 07 : 30 : 00 (séparation par 2 points superposés)</t>
  </si>
  <si>
    <t>NE PAS SUPPRIMER LES CALENDRIERS</t>
  </si>
  <si>
    <t xml:space="preserve">pour les contrats courts </t>
  </si>
  <si>
    <t>Vous avez plusieurs compteurs</t>
  </si>
  <si>
    <t>le calendrier commence par le dernier mois de l'année précédente</t>
  </si>
  <si>
    <t>et se termine par le premier mois de l'année suivante</t>
  </si>
  <si>
    <t>Que pouvez vous faire avec ce document (voir ligne 94)</t>
  </si>
  <si>
    <t xml:space="preserve">Bonne utilisation , faites évoluer ce document et distribuez le sur le net </t>
  </si>
  <si>
    <t>Transmettez vos savoirs faire, peut importe qui les récupère pourvu qu'ils servent à un plus grand nombre</t>
  </si>
  <si>
    <t>Joël Leboucher - UPRT la Restauration collective</t>
  </si>
  <si>
    <t>saisir noms ou prénom colonne B</t>
  </si>
  <si>
    <t>Copier/coller ces logos dans les cellules (fond or) du tableau</t>
  </si>
  <si>
    <t/>
  </si>
  <si>
    <t>colonnes</t>
  </si>
  <si>
    <t>U</t>
  </si>
  <si>
    <t>W</t>
  </si>
  <si>
    <t>Exemple de saisie</t>
  </si>
  <si>
    <t>heures travaillées correspondantes aux logos collés</t>
  </si>
  <si>
    <t>Total d'heures</t>
  </si>
  <si>
    <t>NE PAS DÉPLACER OU SUPPRIMER CES CALENDRIERS</t>
  </si>
  <si>
    <t>Que pouvez vous faire avec ce document - seul le calendrier est automatique - le positionnement est manuel</t>
  </si>
  <si>
    <t xml:space="preserve">MFC - Mise en Forme Conditionnelle du calendrier </t>
  </si>
  <si>
    <t>Vous avez des compteurs colonnes AM - AZ</t>
  </si>
  <si>
    <t>&lt; Total d'heures travaillées</t>
  </si>
  <si>
    <t>Admistration A</t>
  </si>
  <si>
    <t>Administration B</t>
  </si>
  <si>
    <t>Temps de travail dans la fonction publique</t>
  </si>
  <si>
    <t>Les horaires de travail sont définis à l'intérieur du cycle de manière que la durée annuelle du travail respecte la durée légale (1 607 heures).</t>
  </si>
  <si>
    <t>Durée du temps de travail dans la fonction publique territoriale (FPT) en 2021</t>
  </si>
  <si>
    <t>Durée du travail dans la fonction publique hospitalière (FPH) en 2021</t>
  </si>
  <si>
    <t>La durée légale du travail effectif dans un établissement public hospitalier est de 35 heures par semaine (ou 1 607 heures par an)</t>
  </si>
  <si>
    <t>Lien :</t>
  </si>
  <si>
    <t>Format heure saisir : 1607 : 00  2 points superposés de séparation - ne pas oublier d'ajouter les 2 zéros après les points</t>
  </si>
  <si>
    <t>Reliquat d'heures à faire de l'an dernier</t>
  </si>
  <si>
    <t>Nb d'heures à récupérer de l'an dernier</t>
  </si>
  <si>
    <t>GESTION ADMISTRATIVE</t>
  </si>
  <si>
    <r>
      <t xml:space="preserve">Temps de travail annuel </t>
    </r>
    <r>
      <rPr>
        <b/>
        <sz val="11"/>
        <rFont val="Calibri"/>
        <family val="2"/>
        <scheme val="minor"/>
      </rPr>
      <t>100%</t>
    </r>
  </si>
  <si>
    <t>Cuisine centrale 2003</t>
  </si>
  <si>
    <t>MOYENNE   JOURNALIERE</t>
  </si>
  <si>
    <t>QUELQUES ÉLÉMENTS DE RÉFLEXION</t>
  </si>
  <si>
    <t>Robert</t>
  </si>
  <si>
    <r>
      <t>L</t>
    </r>
    <r>
      <rPr>
        <b/>
        <sz val="25"/>
        <rFont val="Calibri"/>
        <family val="2"/>
        <scheme val="minor"/>
      </rPr>
      <t>2</t>
    </r>
  </si>
  <si>
    <r>
      <t>L</t>
    </r>
    <r>
      <rPr>
        <b/>
        <sz val="22"/>
        <rFont val="Calibri"/>
        <family val="2"/>
        <scheme val="minor"/>
      </rPr>
      <t>1</t>
    </r>
  </si>
  <si>
    <r>
      <t>L</t>
    </r>
    <r>
      <rPr>
        <b/>
        <sz val="20"/>
        <rFont val="Calibri"/>
        <family val="2"/>
        <scheme val="minor"/>
      </rPr>
      <t>1</t>
    </r>
  </si>
  <si>
    <r>
      <t>L</t>
    </r>
    <r>
      <rPr>
        <b/>
        <sz val="20"/>
        <rFont val="Calibri"/>
        <family val="2"/>
        <scheme val="minor"/>
      </rPr>
      <t>2</t>
    </r>
  </si>
  <si>
    <r>
      <t>L</t>
    </r>
    <r>
      <rPr>
        <b/>
        <sz val="20"/>
        <color indexed="10"/>
        <rFont val="Calibri"/>
        <family val="2"/>
        <scheme val="minor"/>
      </rPr>
      <t>5</t>
    </r>
  </si>
  <si>
    <r>
      <t>L</t>
    </r>
    <r>
      <rPr>
        <b/>
        <sz val="20"/>
        <color indexed="10"/>
        <rFont val="Calibri"/>
        <family val="2"/>
        <scheme val="minor"/>
      </rPr>
      <t>9</t>
    </r>
  </si>
  <si>
    <r>
      <t>L</t>
    </r>
    <r>
      <rPr>
        <b/>
        <sz val="20"/>
        <rFont val="Calibri"/>
        <family val="2"/>
        <scheme val="minor"/>
      </rPr>
      <t>10</t>
    </r>
  </si>
  <si>
    <t>Amplitude horaire : 7H30 - 22H00</t>
  </si>
  <si>
    <t>Livraison ECOLES liaison froide</t>
  </si>
  <si>
    <t>QUELQUES LIENS</t>
  </si>
  <si>
    <t>Gestion du personnel, Tutos Excel</t>
  </si>
  <si>
    <t>Comment calculer le taux de rotation du personnel et analyser son turnover ?</t>
  </si>
  <si>
    <t>Besoins en personnel et recrutement</t>
  </si>
  <si>
    <t>Tableau de bord RH : comment établir le tableau de calcul de l’effectif ?</t>
  </si>
  <si>
    <t>Le diagnostic des besoins en personnel</t>
  </si>
  <si>
    <t>combler les écarts entre le besoin en personnel et l'effectif disponible</t>
  </si>
  <si>
    <t>Bénéficiez des conseils d'experts du WFM</t>
  </si>
  <si>
    <t>Comment calculer les effectifs d'une entreprise ? Source: Fiche service-public.fr</t>
  </si>
  <si>
    <t>Comment calculer un équivalent temps plein (ETP)</t>
  </si>
  <si>
    <t>Les besoins en RH : Déf., Prévision et Analyse de l’effectif</t>
  </si>
  <si>
    <t xml:space="preserve">PLANNING DE PRODUCTION </t>
  </si>
  <si>
    <t>Rémi</t>
  </si>
  <si>
    <t>Annabelle</t>
  </si>
  <si>
    <t>Ferdinand</t>
  </si>
  <si>
    <t>Didier</t>
  </si>
  <si>
    <t>Valérie</t>
  </si>
  <si>
    <t>Jad</t>
  </si>
  <si>
    <t>Habib</t>
  </si>
  <si>
    <t>Gwladys</t>
  </si>
  <si>
    <t>Angèle</t>
  </si>
  <si>
    <t>David</t>
  </si>
  <si>
    <t>Yves</t>
  </si>
  <si>
    <t>Emma</t>
  </si>
  <si>
    <t>Bénédicte</t>
  </si>
  <si>
    <t xml:space="preserve">Lundi 9 juillet </t>
  </si>
  <si>
    <t xml:space="preserve">Vendredi 26 octobre </t>
  </si>
  <si>
    <t xml:space="preserve">Vendredi 21 décembre </t>
  </si>
  <si>
    <t xml:space="preserve">Vendredi 22 février </t>
  </si>
  <si>
    <t xml:space="preserve">Mardi 22 avril </t>
  </si>
  <si>
    <t xml:space="preserve">Lundi 27 août </t>
  </si>
  <si>
    <t xml:space="preserve">Lundi 5 novembre </t>
  </si>
  <si>
    <t xml:space="preserve">Jeudi 3 janvier </t>
  </si>
  <si>
    <t xml:space="preserve">Lundi 3 mars </t>
  </si>
  <si>
    <t xml:space="preserve">Jeudi 2 mai </t>
  </si>
  <si>
    <t>PLANNING HORAIRE DE TRAVAIL</t>
  </si>
  <si>
    <t>Les dates s'affichent de Gauche à Droite</t>
  </si>
  <si>
    <t>exemple de Compteur</t>
  </si>
  <si>
    <t>Quelques liens</t>
  </si>
  <si>
    <t xml:space="preserve">Calendrier avec repos fixes - Samedi - Dimanche  Les Absences ne s'affichent pas les week-end </t>
  </si>
  <si>
    <t>Absences Repos fixes</t>
  </si>
  <si>
    <t>Absences Repos variables</t>
  </si>
  <si>
    <t>Calendrier avec travail les W.Ends  Les Absences s'affichent aussi les samedis et dimanches</t>
  </si>
  <si>
    <t>Planification annuelle 1</t>
  </si>
  <si>
    <t>Planification annuelle 2</t>
  </si>
  <si>
    <t>puisque les repos sont fixes sur ce document</t>
  </si>
  <si>
    <t>fonction RH (Repos Hebdomadaire)</t>
  </si>
  <si>
    <t xml:space="preserve">Les Absences ne s'affichent pas les week-end   la fonction RH à été supprimée </t>
  </si>
  <si>
    <t>Planification mensuelle variable</t>
  </si>
  <si>
    <t>Planification mensuelle fixe</t>
  </si>
  <si>
    <t xml:space="preserve">Les Absences ne s'affichent pas les samedis et dimanches   </t>
  </si>
  <si>
    <t>Positionnement avec heures travaillées</t>
  </si>
  <si>
    <t>Positionnement Mensuel avec estimation des heures  seul le calendrier est automatique -</t>
  </si>
  <si>
    <t>Heures travaillées</t>
  </si>
  <si>
    <t>Calendrier automatique avec saisie des heures travaillées</t>
  </si>
  <si>
    <t>Positionnement - Pointage</t>
  </si>
  <si>
    <t xml:space="preserve">Positionnement Prévisionnel - Annuel  et Pointage horaires   </t>
  </si>
  <si>
    <t xml:space="preserve">le calendrier commence par le dernier mois de l'année précédente   </t>
  </si>
  <si>
    <t>Temps travail</t>
  </si>
  <si>
    <t>Exemple de tableaux  durées du temps de travail  quelques éléments de réflexion et des liens</t>
  </si>
  <si>
    <r>
      <t>L</t>
    </r>
    <r>
      <rPr>
        <b/>
        <sz val="25"/>
        <color indexed="10"/>
        <rFont val="Calibri"/>
        <family val="2"/>
        <scheme val="minor"/>
      </rPr>
      <t>6</t>
    </r>
  </si>
  <si>
    <r>
      <t>L</t>
    </r>
    <r>
      <rPr>
        <b/>
        <sz val="25"/>
        <color indexed="10"/>
        <rFont val="Calibri"/>
        <family val="2"/>
        <scheme val="minor"/>
      </rPr>
      <t>4</t>
    </r>
  </si>
  <si>
    <r>
      <t xml:space="preserve">LUNDI   MERCREDI   JEUDI   VENDREDI </t>
    </r>
    <r>
      <rPr>
        <sz val="14"/>
        <rFont val="Calibri"/>
        <family val="2"/>
        <scheme val="minor"/>
      </rPr>
      <t>Remplacement de Caroline</t>
    </r>
  </si>
  <si>
    <t xml:space="preserve"> PERIODE SCOLAIRE     ORGANISATION DE BASE  VENDREDI  29H00</t>
  </si>
  <si>
    <t xml:space="preserve"> PERIODE SCOLAIRE     VARIANTE N°1   VENDREDI  28H00</t>
  </si>
  <si>
    <t xml:space="preserve"> PERIODE SCOLAIRE     VARIANTE N° 2   VENDREDI  28H00</t>
  </si>
  <si>
    <r>
      <t>L</t>
    </r>
    <r>
      <rPr>
        <b/>
        <sz val="20"/>
        <rFont val="Calibri"/>
        <family val="2"/>
        <scheme val="minor"/>
      </rPr>
      <t>7</t>
    </r>
  </si>
  <si>
    <t>A chacun de choisir et d'adapter le document qui lui convient</t>
  </si>
  <si>
    <t>Je vous en souhaite une bonne utilisation           Joël Leboucher</t>
  </si>
  <si>
    <t>UPRT  La Restauration collective</t>
  </si>
  <si>
    <t>ANNÉE :</t>
  </si>
  <si>
    <t>Calendrier Automatisé | Tutoriel Excel - De Rien</t>
  </si>
  <si>
    <t>https://www.youtube.com/watch?v=JnOoYQ1oc24&amp;ab_channel=TutoDeRien</t>
  </si>
  <si>
    <t>simple suivi horaire hebdomadaire avec horaire personnalisable</t>
  </si>
  <si>
    <t>https://www.youtube.com/watch?v=K-XuPxdp84g&amp;ab_channel=TutoDeRien</t>
  </si>
  <si>
    <t>mis en forme conditionnelle des jours fériés d'un planning de personnel</t>
  </si>
  <si>
    <t>https://www.youtube.com/watch?v=4lM4ayHeqH0&amp;ab_channel=TutoDeRien</t>
  </si>
  <si>
    <t>Mettre les jours feries en couleur [Fermé]</t>
  </si>
  <si>
    <t>https://forums.commentcamarche.net/forum/affich-35622137-mettre-les-jours-feries-en-couleur</t>
  </si>
  <si>
    <t>Solution : en employant une mise en forme conditionnelle.</t>
  </si>
  <si>
    <t>https://www.01net.com/astuces/comment-colorer-les-jours-feries-dun-champ-145077.html</t>
  </si>
  <si>
    <t>Mise en forme conditionnelle sur jours fériés</t>
  </si>
  <si>
    <t>https://www.excel-downloads.com/threads/mise-en-forme-conditionnelle-sur-jours-feries.23305/</t>
  </si>
  <si>
    <t>Début AM</t>
  </si>
  <si>
    <t>Fin AM</t>
  </si>
  <si>
    <t>Début PM</t>
  </si>
  <si>
    <t>Fin PM</t>
  </si>
  <si>
    <t>Total journalier</t>
  </si>
  <si>
    <t>Janvier</t>
  </si>
  <si>
    <t>Noël 2014</t>
  </si>
  <si>
    <t>Mars</t>
  </si>
  <si>
    <t>Jour de l'an</t>
  </si>
  <si>
    <t>Avril</t>
  </si>
  <si>
    <t>Mai</t>
  </si>
  <si>
    <t>Fête du travail</t>
  </si>
  <si>
    <t>Juin</t>
  </si>
  <si>
    <t>Victoire 45</t>
  </si>
  <si>
    <t>Juillet</t>
  </si>
  <si>
    <t>Septembre</t>
  </si>
  <si>
    <t>Fête nationale</t>
  </si>
  <si>
    <t>Octobre</t>
  </si>
  <si>
    <t>Armistice 14-18</t>
  </si>
  <si>
    <t>Jour de l'an 2016</t>
  </si>
  <si>
    <t>janvier</t>
  </si>
  <si>
    <t>Saisissez l'année cellule C 11</t>
  </si>
  <si>
    <t>Saisissez le mois cellule C 10</t>
  </si>
  <si>
    <t>Ajustez les heures en fonction des postes ligne 12</t>
  </si>
  <si>
    <t>Collez les logos de la ligne 11 dans le tableau</t>
  </si>
  <si>
    <t>Que pouvez vous faire avec ce document (voir ligne 60)</t>
  </si>
  <si>
    <t xml:space="preserve">saisir la date cellule C 11 </t>
  </si>
  <si>
    <t>Redéfinir les heures travaillée en fonction des postes ligne 12</t>
  </si>
  <si>
    <t xml:space="preserve">Vous pouvez coller d'autes logos ICI ligne 14 (colonnes AN à AR) à et ajuster les heures ligne 11 ccolonnes T à X </t>
  </si>
  <si>
    <t>Copier/coller tous ces logos au choix dans le tableau</t>
  </si>
  <si>
    <t>la fonction RH à été supprimée puisque</t>
  </si>
  <si>
    <t xml:space="preserve"> les repos sont fixes sur ce document</t>
  </si>
  <si>
    <t>février</t>
  </si>
  <si>
    <t>le mois se change cellule B 2</t>
  </si>
  <si>
    <t>l'année se change cellule A 2</t>
  </si>
  <si>
    <t>saisie des horaires colonnes C.D.E.F</t>
  </si>
  <si>
    <t>comment colorer les jours fériés d'un champ?</t>
  </si>
  <si>
    <t>Ne saisissez rien dans ce calendrier</t>
  </si>
  <si>
    <t xml:space="preserve"> qui alimente le mois de janvier de l'année suivante</t>
  </si>
  <si>
    <t xml:space="preserve"> qui alimente le mois de décembre de l'année précédente</t>
  </si>
  <si>
    <t xml:space="preserve">Calendriers colonne BZ </t>
  </si>
  <si>
    <t>https://www.youtube.com/watch?app=desktop&amp;v=4lM4ayHeqH0&amp;ab_channel=TutoDeRien</t>
  </si>
  <si>
    <t>https://www.youtube.com/watch?app=desktop&amp;v=K-XuPxdp84g&amp;ab_channel=TutoDeRien</t>
  </si>
  <si>
    <t>https://www.youtube.com/watch?app=desktop&amp;v=JnOoYQ1oc24&amp;ab_channel=TutoDeRien</t>
  </si>
  <si>
    <t>Comment éviter les formules incorrectes</t>
  </si>
  <si>
    <t>https://support.microsoft.com/fr-fr/office/comment-%c3%a9viter-les-formules-incorrectes-8309381d-33e8-42f6-b889-84ef6df1d586?ns=excel&amp;version=90&amp;syslcid=1036&amp;uilcid=1036&amp;appver=zxl900&amp;helpid=xlmain11.chm196624&amp;ui=fr-fr&amp;rs=fr-fr&amp;ad=fr</t>
  </si>
  <si>
    <t>modèles excel</t>
  </si>
  <si>
    <t>Documents</t>
  </si>
  <si>
    <t>Vidéos</t>
  </si>
  <si>
    <t>Colonne AL</t>
  </si>
  <si>
    <t>saisissez les heures journalières effectuées cellules jaunes</t>
  </si>
  <si>
    <t xml:space="preserve">COPIEZ/COLLEZ les logos dans les cellules (fond jaune) du tableau </t>
  </si>
  <si>
    <t>Saisissez des horaires</t>
  </si>
  <si>
    <t>Exemple d'horaires</t>
  </si>
  <si>
    <t>ou Pointage horaires</t>
  </si>
  <si>
    <t xml:space="preserve">Noël </t>
  </si>
  <si>
    <t>Calendrier avec travail les W.Ends .</t>
  </si>
  <si>
    <t>Calendrier avec repos fixes - Samedi - Dimanche.</t>
  </si>
  <si>
    <t xml:space="preserve">Calendrier avec travail les W.Ends . </t>
  </si>
  <si>
    <t xml:space="preserve"> '+ 1 ligne pour vous permettre de planifier les journées de présence </t>
  </si>
  <si>
    <t>Calendrier avec repos fixes - Samedi - Dimanche .</t>
  </si>
  <si>
    <t>Positionnement manuel sur une ligne</t>
  </si>
  <si>
    <t>heures correspondantes automatiques sur la la ligne suivante</t>
  </si>
  <si>
    <t>NE PAS DÉPLACER OU SUPPRIMER CES CALENDRIERS D'AIDE MÉMOIRE DES FÉRIÉS</t>
  </si>
  <si>
    <t>Exemples de tableaux des féries que vous pouvez adapter pour vos documents</t>
  </si>
  <si>
    <t>Exemple de tableau des féries que vous pouvez adapter pour vos documents</t>
  </si>
  <si>
    <t>Mise à jour du 5 Février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</si>
</sst>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64" formatCode="ddd"/>
    <numFmt numFmtId="165" formatCode="dd/mm/yy;@"/>
    <numFmt numFmtId="166" formatCode="[$-40C]mmm\-yy;@"/>
    <numFmt numFmtId="167" formatCode="mmmm"/>
    <numFmt numFmtId="168" formatCode="[$-40C]d\-mmm;@"/>
    <numFmt numFmtId="169" formatCode="dddd\ d\ mmmm\ yyyy"/>
    <numFmt numFmtId="170" formatCode="[h]&quot;H&quot;mm"/>
    <numFmt numFmtId="171" formatCode="0.000"/>
    <numFmt numFmtId="172" formatCode="0.000&quot; Kg&quot;"/>
    <numFmt numFmtId="173" formatCode="0.0&quot; %&quot;"/>
    <numFmt numFmtId="174" formatCode="#,##0.00\ &quot;€&quot;"/>
    <numFmt numFmtId="175" formatCode="0.00\ &quot; cm³&quot;"/>
    <numFmt numFmtId="176" formatCode="dddd\ d\ mmmm\ yyyy\ \-\ h&quot;H&quot;m"/>
    <numFmt numFmtId="177" formatCode="0&quot; J.&quot;"/>
    <numFmt numFmtId="178" formatCode="0&quot; RTT&quot;"/>
    <numFmt numFmtId="179" formatCode="0.0"/>
    <numFmt numFmtId="180" formatCode="0.000%"/>
    <numFmt numFmtId="181" formatCode="d\-mmm\-yy\ \-\ hh:mm"/>
    <numFmt numFmtId="182" formatCode="[h]&quot;H&quot;:mm"/>
    <numFmt numFmtId="183" formatCode="d\ "/>
    <numFmt numFmtId="184" formatCode="mmmm\-yyyy"/>
    <numFmt numFmtId="185" formatCode="mmmm\-yy"/>
    <numFmt numFmtId="186" formatCode="h:mm;@"/>
    <numFmt numFmtId="187" formatCode="d"/>
    <numFmt numFmtId="188" formatCode="mmmm\ \'yy"/>
    <numFmt numFmtId="189" formatCode="dddd\ dd\ mmmm\ yyyy\ "/>
    <numFmt numFmtId="190" formatCode="hh&quot;H&quot;:mm&quot; mn&quot;"/>
    <numFmt numFmtId="191" formatCode="mmmm\ yyyy"/>
    <numFmt numFmtId="192" formatCode="&quot;Fériés &quot;0"/>
    <numFmt numFmtId="193" formatCode="dddd* dd\ mmmm\ yyyy"/>
    <numFmt numFmtId="194" formatCode="dddd"/>
    <numFmt numFmtId="195" formatCode="dd"/>
    <numFmt numFmtId="196" formatCode="ddd\ dd\ mmmm\ yyyy"/>
    <numFmt numFmtId="197" formatCode="ddd\ dd\ mmmm"/>
    <numFmt numFmtId="198" formatCode="ddd\ dd\ mmmm;;"/>
  </numFmts>
  <fonts count="302" x14ac:knownFonts="1">
    <font>
      <sz val="12"/>
      <color theme="1"/>
      <name val="Calibri"/>
      <family val="2"/>
      <scheme val="minor"/>
    </font>
    <font>
      <u/>
      <sz val="12"/>
      <color theme="10"/>
      <name val="Calibri"/>
      <family val="2"/>
      <scheme val="minor"/>
    </font>
    <font>
      <b/>
      <sz val="14"/>
      <color theme="1"/>
      <name val="Calibri"/>
      <family val="2"/>
      <scheme val="minor"/>
    </font>
    <font>
      <sz val="12"/>
      <color theme="1"/>
      <name val="Times New Roman"/>
      <family val="2"/>
    </font>
    <font>
      <sz val="10"/>
      <name val="Arial"/>
      <family val="2"/>
    </font>
    <font>
      <b/>
      <sz val="20"/>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12"/>
      <color rgb="FFC00000"/>
      <name val="Calibri"/>
      <family val="2"/>
      <scheme val="minor"/>
    </font>
    <font>
      <b/>
      <sz val="22"/>
      <name val="Calibri"/>
      <family val="2"/>
      <scheme val="minor"/>
    </font>
    <font>
      <b/>
      <sz val="26"/>
      <name val="Calibri"/>
      <family val="2"/>
      <scheme val="minor"/>
    </font>
    <font>
      <b/>
      <sz val="28"/>
      <name val="Calibri"/>
      <family val="2"/>
      <scheme val="minor"/>
    </font>
    <font>
      <b/>
      <sz val="12"/>
      <name val="Calibri"/>
      <family val="2"/>
      <scheme val="minor"/>
    </font>
    <font>
      <b/>
      <sz val="16"/>
      <color theme="1"/>
      <name val="Calibri"/>
      <family val="2"/>
      <scheme val="minor"/>
    </font>
    <font>
      <sz val="5"/>
      <color theme="0" tint="-0.249977111117893"/>
      <name val="Calibri"/>
      <family val="2"/>
      <scheme val="minor"/>
    </font>
    <font>
      <b/>
      <sz val="22"/>
      <color theme="1"/>
      <name val="Calibri"/>
      <family val="2"/>
      <scheme val="minor"/>
    </font>
    <font>
      <sz val="8"/>
      <name val="Arial"/>
      <family val="2"/>
    </font>
    <font>
      <b/>
      <sz val="14"/>
      <name val="Arial"/>
      <family val="2"/>
    </font>
    <font>
      <b/>
      <sz val="16"/>
      <name val="Arial"/>
      <family val="2"/>
    </font>
    <font>
      <sz val="10"/>
      <name val="MS Sans Serif"/>
      <family val="2"/>
    </font>
    <font>
      <sz val="12"/>
      <name val="Arial"/>
      <family val="2"/>
    </font>
    <font>
      <sz val="12"/>
      <name val="Times New Roman"/>
      <family val="1"/>
    </font>
    <font>
      <sz val="14"/>
      <name val="Arial"/>
      <family val="2"/>
    </font>
    <font>
      <sz val="12"/>
      <color rgb="FF0070C0"/>
      <name val="Calibri"/>
      <family val="2"/>
      <scheme val="minor"/>
    </font>
    <font>
      <b/>
      <sz val="12"/>
      <color rgb="FF0070C0"/>
      <name val="Calibri"/>
      <family val="2"/>
      <scheme val="minor"/>
    </font>
    <font>
      <sz val="8"/>
      <name val="Calibri"/>
      <family val="2"/>
      <scheme val="minor"/>
    </font>
    <font>
      <sz val="12"/>
      <color rgb="FFC00000"/>
      <name val="Calibri"/>
      <family val="2"/>
      <scheme val="minor"/>
    </font>
    <font>
      <b/>
      <u/>
      <sz val="12"/>
      <color theme="10"/>
      <name val="Calibri"/>
      <family val="2"/>
      <scheme val="minor"/>
    </font>
    <font>
      <sz val="10"/>
      <name val="Calibri"/>
      <family val="2"/>
      <scheme val="minor"/>
    </font>
    <font>
      <sz val="12"/>
      <name val="Calibri"/>
      <family val="2"/>
      <scheme val="minor"/>
    </font>
    <font>
      <i/>
      <sz val="12"/>
      <name val="Calibri"/>
      <family val="2"/>
      <scheme val="minor"/>
    </font>
    <font>
      <b/>
      <u/>
      <sz val="12"/>
      <name val="Calibri"/>
      <family val="2"/>
      <scheme val="minor"/>
    </font>
    <font>
      <u/>
      <sz val="12"/>
      <name val="Calibri"/>
      <family val="2"/>
      <scheme val="minor"/>
    </font>
    <font>
      <b/>
      <sz val="12"/>
      <color indexed="10"/>
      <name val="Calibri"/>
      <family val="2"/>
      <scheme val="minor"/>
    </font>
    <font>
      <sz val="11"/>
      <color theme="1"/>
      <name val="Calibri"/>
      <family val="2"/>
      <scheme val="minor"/>
    </font>
    <font>
      <b/>
      <sz val="22"/>
      <color rgb="FF92D050"/>
      <name val="Verdana"/>
      <family val="2"/>
    </font>
    <font>
      <b/>
      <sz val="20"/>
      <color rgb="FFFFFF00"/>
      <name val="Arial"/>
      <family val="2"/>
    </font>
    <font>
      <sz val="22"/>
      <color theme="0"/>
      <name val="Verdana"/>
      <family val="2"/>
    </font>
    <font>
      <sz val="18"/>
      <color rgb="FF7030A0"/>
      <name val="Arial"/>
      <family val="2"/>
    </font>
    <font>
      <sz val="22"/>
      <name val="Verdana"/>
      <family val="2"/>
    </font>
    <font>
      <b/>
      <sz val="16"/>
      <color theme="0"/>
      <name val="Calibri"/>
      <family val="2"/>
      <scheme val="minor"/>
    </font>
    <font>
      <sz val="16"/>
      <name val="Arial"/>
      <family val="2"/>
    </font>
    <font>
      <sz val="8"/>
      <color indexed="53"/>
      <name val="Arial"/>
      <family val="2"/>
    </font>
    <font>
      <b/>
      <sz val="22"/>
      <color rgb="FF99CC00"/>
      <name val="Arial"/>
      <family val="2"/>
    </font>
    <font>
      <sz val="22"/>
      <color theme="1"/>
      <name val="Verdana"/>
      <family val="2"/>
    </font>
    <font>
      <sz val="22"/>
      <color theme="0"/>
      <name val="Arial"/>
      <family val="2"/>
    </font>
    <font>
      <sz val="22"/>
      <color theme="0"/>
      <name val="Calibri"/>
      <family val="2"/>
      <scheme val="minor"/>
    </font>
    <font>
      <sz val="22"/>
      <color theme="0"/>
      <name val="Rockwell"/>
      <family val="1"/>
    </font>
    <font>
      <sz val="10"/>
      <color theme="0"/>
      <name val="Arial"/>
      <family val="2"/>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sz val="20"/>
      <color theme="0"/>
      <name val="Calibri"/>
      <family val="2"/>
      <scheme val="minor"/>
    </font>
    <font>
      <b/>
      <sz val="26"/>
      <color theme="0"/>
      <name val="Arial"/>
      <family val="2"/>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sz val="18"/>
      <name val="Arial"/>
      <family val="2"/>
    </font>
    <font>
      <sz val="18"/>
      <color theme="0"/>
      <name val="Arial"/>
      <family val="2"/>
    </font>
    <font>
      <sz val="18"/>
      <color theme="0"/>
      <name val="Calibri"/>
      <family val="2"/>
      <scheme val="minor"/>
    </font>
    <font>
      <u/>
      <sz val="10"/>
      <color indexed="12"/>
      <name val="Arial"/>
      <family val="2"/>
    </font>
    <font>
      <u/>
      <sz val="22"/>
      <color theme="0"/>
      <name val="Arial"/>
      <family val="2"/>
    </font>
    <font>
      <b/>
      <sz val="20"/>
      <color theme="0"/>
      <name val="Calibri"/>
      <family val="2"/>
      <scheme val="minor"/>
    </font>
    <font>
      <u/>
      <sz val="11"/>
      <color theme="10"/>
      <name val="Calibri"/>
      <family val="2"/>
      <scheme val="minor"/>
    </font>
    <font>
      <b/>
      <u/>
      <sz val="28"/>
      <color theme="10"/>
      <name val="Calibri"/>
      <family val="2"/>
      <scheme val="minor"/>
    </font>
    <font>
      <sz val="22"/>
      <color rgb="FFFFFF00"/>
      <name val="Verdana"/>
      <family val="2"/>
    </font>
    <font>
      <b/>
      <sz val="18"/>
      <color theme="0"/>
      <name val="Calibri"/>
      <family val="2"/>
      <scheme val="minor"/>
    </font>
    <font>
      <u/>
      <sz val="18"/>
      <color theme="10"/>
      <name val="Arial"/>
      <family val="2"/>
    </font>
    <font>
      <u/>
      <sz val="22"/>
      <color theme="10"/>
      <name val="Arial"/>
      <family val="2"/>
    </font>
    <font>
      <sz val="22"/>
      <color theme="0" tint="-4.9989318521683403E-2"/>
      <name val="Verdana"/>
      <family val="2"/>
    </font>
    <font>
      <sz val="10"/>
      <color theme="0" tint="-4.9989318521683403E-2"/>
      <name val="Arial"/>
      <family val="2"/>
    </font>
    <font>
      <sz val="18"/>
      <color theme="0" tint="-4.9989318521683403E-2"/>
      <name val="Calibri"/>
      <family val="2"/>
      <scheme val="minor"/>
    </font>
    <font>
      <u/>
      <sz val="18"/>
      <color theme="10"/>
      <name val="Calibri"/>
      <family val="2"/>
      <scheme val="minor"/>
    </font>
    <font>
      <u/>
      <sz val="24"/>
      <color theme="10"/>
      <name val="Calibri"/>
      <family val="2"/>
      <scheme val="minor"/>
    </font>
    <font>
      <u/>
      <sz val="10"/>
      <color theme="10"/>
      <name val="Arial"/>
      <family val="2"/>
    </font>
    <font>
      <b/>
      <u/>
      <sz val="18"/>
      <color theme="10"/>
      <name val="Calibri"/>
      <family val="2"/>
      <scheme val="minor"/>
    </font>
    <font>
      <b/>
      <sz val="22"/>
      <color theme="0"/>
      <name val="Calibri"/>
      <family val="2"/>
      <scheme val="minor"/>
    </font>
    <font>
      <b/>
      <sz val="22"/>
      <color rgb="FF92D050"/>
      <name val="Arial"/>
      <family val="2"/>
    </font>
    <font>
      <i/>
      <sz val="22"/>
      <color theme="0"/>
      <name val="Verdana"/>
      <family val="2"/>
    </font>
    <font>
      <b/>
      <sz val="22"/>
      <color theme="0"/>
      <name val="Arial"/>
      <family val="2"/>
    </font>
    <font>
      <sz val="11"/>
      <color theme="0"/>
      <name val="Calibri"/>
      <family val="2"/>
      <scheme val="minor"/>
    </font>
    <font>
      <b/>
      <sz val="14"/>
      <color indexed="9"/>
      <name val="Arial"/>
      <family val="2"/>
    </font>
    <font>
      <b/>
      <sz val="12"/>
      <color indexed="10"/>
      <name val="Arial"/>
      <family val="2"/>
    </font>
    <font>
      <b/>
      <sz val="10"/>
      <color indexed="10"/>
      <name val="Arial"/>
      <family val="2"/>
    </font>
    <font>
      <sz val="9"/>
      <name val="Arial"/>
      <family val="2"/>
    </font>
    <font>
      <sz val="9"/>
      <name val="Times New Roman"/>
      <family val="1"/>
    </font>
    <font>
      <b/>
      <sz val="8"/>
      <color indexed="81"/>
      <name val="Tahoma"/>
      <family val="2"/>
    </font>
    <font>
      <sz val="8"/>
      <color indexed="81"/>
      <name val="Tahoma"/>
      <family val="2"/>
    </font>
    <font>
      <b/>
      <sz val="12"/>
      <color indexed="9"/>
      <name val="Calibri"/>
      <family val="2"/>
      <scheme val="minor"/>
    </font>
    <font>
      <sz val="12"/>
      <color indexed="9"/>
      <name val="Calibri"/>
      <family val="2"/>
      <scheme val="minor"/>
    </font>
    <font>
      <b/>
      <sz val="12"/>
      <color indexed="12"/>
      <name val="Calibri"/>
      <family val="2"/>
    </font>
    <font>
      <b/>
      <sz val="12"/>
      <color indexed="8"/>
      <name val="Calibri"/>
      <family val="2"/>
    </font>
    <font>
      <b/>
      <sz val="12"/>
      <color indexed="56"/>
      <name val="Calibri"/>
      <family val="2"/>
    </font>
    <font>
      <b/>
      <sz val="20"/>
      <name val="Calibri"/>
      <family val="2"/>
      <scheme val="minor"/>
    </font>
    <font>
      <b/>
      <sz val="16"/>
      <color rgb="FFC00000"/>
      <name val="Calibri"/>
      <family val="2"/>
      <scheme val="minor"/>
    </font>
    <font>
      <b/>
      <sz val="14"/>
      <color rgb="FFC00000"/>
      <name val="Calibri"/>
      <family val="2"/>
      <scheme val="minor"/>
    </font>
    <font>
      <b/>
      <sz val="14"/>
      <color indexed="12"/>
      <name val="Arial"/>
      <family val="2"/>
    </font>
    <font>
      <b/>
      <sz val="10"/>
      <color indexed="81"/>
      <name val="Tahoma"/>
      <family val="2"/>
    </font>
    <font>
      <b/>
      <sz val="10"/>
      <color indexed="10"/>
      <name val="Tahoma"/>
      <family val="2"/>
    </font>
    <font>
      <b/>
      <sz val="12"/>
      <color indexed="81"/>
      <name val="Tahoma"/>
      <family val="2"/>
    </font>
    <font>
      <i/>
      <sz val="8"/>
      <color indexed="81"/>
      <name val="Tahoma"/>
      <family val="2"/>
    </font>
    <font>
      <b/>
      <sz val="14"/>
      <color indexed="81"/>
      <name val="Tahoma"/>
      <family val="2"/>
    </font>
    <font>
      <sz val="14"/>
      <color indexed="81"/>
      <name val="Tahoma"/>
      <family val="2"/>
    </font>
    <font>
      <b/>
      <sz val="18"/>
      <name val="Arial"/>
      <family val="2"/>
    </font>
    <font>
      <sz val="20"/>
      <name val="Arial"/>
      <family val="2"/>
    </font>
    <font>
      <sz val="13"/>
      <name val="Arial"/>
      <family val="2"/>
    </font>
    <font>
      <b/>
      <u/>
      <sz val="10"/>
      <color indexed="10"/>
      <name val="Tahoma"/>
      <family val="2"/>
    </font>
    <font>
      <b/>
      <u/>
      <sz val="8"/>
      <color indexed="10"/>
      <name val="Tahoma"/>
      <family val="2"/>
    </font>
    <font>
      <b/>
      <sz val="8"/>
      <color indexed="10"/>
      <name val="Tahoma"/>
      <family val="2"/>
    </font>
    <font>
      <sz val="16"/>
      <color indexed="12"/>
      <name val="Arial"/>
      <family val="2"/>
    </font>
    <font>
      <sz val="8"/>
      <color indexed="12"/>
      <name val="Tahoma"/>
      <family val="2"/>
    </font>
    <font>
      <b/>
      <sz val="8"/>
      <color indexed="12"/>
      <name val="Tahoma"/>
      <family val="2"/>
    </font>
    <font>
      <b/>
      <sz val="8"/>
      <color indexed="17"/>
      <name val="Tahoma"/>
      <family val="2"/>
    </font>
    <font>
      <b/>
      <sz val="16"/>
      <name val="Calibri"/>
      <family val="2"/>
      <scheme val="minor"/>
    </font>
    <font>
      <sz val="7"/>
      <name val="Calibri"/>
      <family val="2"/>
      <scheme val="minor"/>
    </font>
    <font>
      <b/>
      <sz val="10"/>
      <name val="Calibri"/>
      <family val="2"/>
      <scheme val="minor"/>
    </font>
    <font>
      <b/>
      <sz val="18"/>
      <name val="Calibri"/>
      <family val="2"/>
      <scheme val="minor"/>
    </font>
    <font>
      <b/>
      <sz val="25"/>
      <name val="Calibri"/>
      <family val="2"/>
      <scheme val="minor"/>
    </font>
    <font>
      <b/>
      <sz val="14"/>
      <name val="Calibri"/>
      <family val="2"/>
      <scheme val="minor"/>
    </font>
    <font>
      <b/>
      <i/>
      <u/>
      <sz val="12"/>
      <name val="Calibri"/>
      <family val="2"/>
      <scheme val="minor"/>
    </font>
    <font>
      <b/>
      <sz val="14"/>
      <color indexed="9"/>
      <name val="Calibri"/>
      <family val="2"/>
      <scheme val="minor"/>
    </font>
    <font>
      <sz val="9"/>
      <color indexed="10"/>
      <name val="Calibri"/>
      <family val="2"/>
      <scheme val="minor"/>
    </font>
    <font>
      <u/>
      <sz val="9"/>
      <name val="Calibri"/>
      <family val="2"/>
      <scheme val="minor"/>
    </font>
    <font>
      <sz val="9"/>
      <color indexed="9"/>
      <name val="Calibri"/>
      <family val="2"/>
      <scheme val="minor"/>
    </font>
    <font>
      <i/>
      <sz val="6"/>
      <color indexed="16"/>
      <name val="Calibri"/>
      <family val="2"/>
      <scheme val="minor"/>
    </font>
    <font>
      <i/>
      <sz val="7"/>
      <color indexed="16"/>
      <name val="Calibri"/>
      <family val="2"/>
      <scheme val="minor"/>
    </font>
    <font>
      <b/>
      <sz val="16"/>
      <color indexed="12"/>
      <name val="Calibri"/>
      <family val="2"/>
      <scheme val="minor"/>
    </font>
    <font>
      <b/>
      <sz val="9"/>
      <name val="Calibri"/>
      <family val="2"/>
      <scheme val="minor"/>
    </font>
    <font>
      <b/>
      <sz val="16"/>
      <color indexed="10"/>
      <name val="Calibri"/>
      <family val="2"/>
      <scheme val="minor"/>
    </font>
    <font>
      <b/>
      <sz val="10"/>
      <color indexed="10"/>
      <name val="Calibri"/>
      <family val="2"/>
      <scheme val="minor"/>
    </font>
    <font>
      <sz val="10"/>
      <color indexed="10"/>
      <name val="Calibri"/>
      <family val="2"/>
      <scheme val="minor"/>
    </font>
    <font>
      <b/>
      <sz val="11"/>
      <name val="Calibri"/>
      <family val="2"/>
      <scheme val="minor"/>
    </font>
    <font>
      <sz val="11"/>
      <name val="Cambria"/>
      <family val="2"/>
    </font>
    <font>
      <sz val="11"/>
      <color indexed="12"/>
      <name val="Calibri"/>
      <family val="2"/>
      <scheme val="minor"/>
    </font>
    <font>
      <sz val="8"/>
      <color indexed="12"/>
      <name val="Calibri"/>
      <family val="2"/>
      <scheme val="minor"/>
    </font>
    <font>
      <sz val="12"/>
      <color indexed="12"/>
      <name val="Calibri"/>
      <family val="2"/>
      <scheme val="minor"/>
    </font>
    <font>
      <sz val="28"/>
      <color indexed="12"/>
      <name val="Calibri"/>
      <family val="2"/>
      <scheme val="minor"/>
    </font>
    <font>
      <b/>
      <sz val="8"/>
      <name val="Calibri"/>
      <family val="2"/>
      <scheme val="minor"/>
    </font>
    <font>
      <b/>
      <sz val="9"/>
      <color indexed="9"/>
      <name val="Calibri"/>
      <family val="2"/>
      <scheme val="minor"/>
    </font>
    <font>
      <sz val="9"/>
      <name val="Calibri"/>
      <family val="2"/>
      <scheme val="minor"/>
    </font>
    <font>
      <sz val="11"/>
      <name val="Calibri"/>
      <family val="2"/>
      <scheme val="minor"/>
    </font>
    <font>
      <b/>
      <sz val="7"/>
      <color indexed="9"/>
      <name val="Calibri"/>
      <family val="2"/>
      <scheme val="minor"/>
    </font>
    <font>
      <b/>
      <sz val="10"/>
      <color indexed="9"/>
      <name val="Calibri"/>
      <family val="2"/>
      <scheme val="minor"/>
    </font>
    <font>
      <b/>
      <sz val="9"/>
      <color indexed="12"/>
      <name val="Calibri"/>
      <family val="2"/>
      <scheme val="minor"/>
    </font>
    <font>
      <b/>
      <sz val="10"/>
      <color indexed="12"/>
      <name val="Calibri"/>
      <family val="2"/>
      <scheme val="minor"/>
    </font>
    <font>
      <i/>
      <sz val="10"/>
      <name val="Calibri"/>
      <family val="2"/>
      <scheme val="minor"/>
    </font>
    <font>
      <b/>
      <sz val="14"/>
      <color indexed="12"/>
      <name val="Calibri"/>
      <family val="2"/>
      <scheme val="minor"/>
    </font>
    <font>
      <i/>
      <sz val="8"/>
      <name val="Calibri"/>
      <family val="2"/>
      <scheme val="minor"/>
    </font>
    <font>
      <sz val="8"/>
      <color indexed="10"/>
      <name val="Calibri"/>
      <family val="2"/>
      <scheme val="minor"/>
    </font>
    <font>
      <b/>
      <sz val="8"/>
      <color indexed="12"/>
      <name val="Calibri"/>
      <family val="2"/>
      <scheme val="minor"/>
    </font>
    <font>
      <b/>
      <sz val="10"/>
      <color indexed="16"/>
      <name val="Calibri"/>
      <family val="2"/>
      <scheme val="minor"/>
    </font>
    <font>
      <b/>
      <i/>
      <sz val="10"/>
      <color indexed="16"/>
      <name val="Calibri"/>
      <family val="2"/>
      <scheme val="minor"/>
    </font>
    <font>
      <b/>
      <sz val="10"/>
      <color indexed="17"/>
      <name val="Calibri"/>
      <family val="2"/>
      <scheme val="minor"/>
    </font>
    <font>
      <b/>
      <i/>
      <sz val="10"/>
      <color indexed="17"/>
      <name val="Calibri"/>
      <family val="2"/>
      <scheme val="minor"/>
    </font>
    <font>
      <sz val="28"/>
      <name val="Calibri"/>
      <family val="2"/>
      <scheme val="minor"/>
    </font>
    <font>
      <sz val="14"/>
      <name val="Calibri"/>
      <family val="2"/>
      <scheme val="minor"/>
    </font>
    <font>
      <sz val="14"/>
      <color theme="1" tint="0.34998626667073579"/>
      <name val="Calibri"/>
      <family val="2"/>
      <scheme val="minor"/>
    </font>
    <font>
      <sz val="10"/>
      <color theme="1" tint="0.249977111117893"/>
      <name val="Calibri"/>
      <family val="2"/>
      <scheme val="minor"/>
    </font>
    <font>
      <sz val="12"/>
      <color indexed="53"/>
      <name val="Arial"/>
      <family val="2"/>
    </font>
    <font>
      <sz val="12"/>
      <color indexed="53"/>
      <name val="Tahoma"/>
      <family val="2"/>
    </font>
    <font>
      <sz val="10"/>
      <name val="Arial"/>
      <family val="2"/>
    </font>
    <font>
      <sz val="8"/>
      <name val="Arial"/>
      <family val="2"/>
    </font>
    <font>
      <b/>
      <sz val="11"/>
      <color indexed="9"/>
      <name val="Cambria"/>
      <family val="2"/>
    </font>
    <font>
      <u/>
      <sz val="10"/>
      <color indexed="12"/>
      <name val="Arial"/>
      <family val="2"/>
    </font>
    <font>
      <sz val="24"/>
      <color indexed="9"/>
      <name val="Calibri"/>
      <family val="2"/>
      <scheme val="minor"/>
    </font>
    <font>
      <sz val="16"/>
      <color indexed="12"/>
      <name val="Calibri"/>
      <family val="2"/>
      <scheme val="minor"/>
    </font>
    <font>
      <b/>
      <sz val="18"/>
      <color indexed="12"/>
      <name val="Calibri"/>
      <family val="2"/>
      <scheme val="minor"/>
    </font>
    <font>
      <b/>
      <sz val="11"/>
      <color indexed="12"/>
      <name val="Calibri"/>
      <family val="2"/>
      <scheme val="minor"/>
    </font>
    <font>
      <b/>
      <sz val="11"/>
      <color theme="1"/>
      <name val="Calibri"/>
      <family val="2"/>
      <scheme val="minor"/>
    </font>
    <font>
      <sz val="10"/>
      <color indexed="9"/>
      <name val="Calibri"/>
      <family val="2"/>
      <scheme val="minor"/>
    </font>
    <font>
      <sz val="14"/>
      <color indexed="9"/>
      <name val="Calibri"/>
      <family val="2"/>
      <scheme val="minor"/>
    </font>
    <font>
      <b/>
      <sz val="8"/>
      <color rgb="FF0000FF"/>
      <name val="Calibri"/>
      <family val="2"/>
      <scheme val="minor"/>
    </font>
    <font>
      <sz val="11"/>
      <color rgb="FFFF0000"/>
      <name val="Calibri"/>
      <family val="2"/>
      <scheme val="minor"/>
    </font>
    <font>
      <b/>
      <sz val="10"/>
      <color theme="0"/>
      <name val="Calibri"/>
      <family val="2"/>
      <scheme val="minor"/>
    </font>
    <font>
      <sz val="11"/>
      <color indexed="10"/>
      <name val="Calibri"/>
      <family val="2"/>
      <scheme val="minor"/>
    </font>
    <font>
      <sz val="11"/>
      <color indexed="9"/>
      <name val="Calibri"/>
      <family val="2"/>
      <scheme val="minor"/>
    </font>
    <font>
      <b/>
      <sz val="10"/>
      <color rgb="FFFF0000"/>
      <name val="Calibri"/>
      <family val="2"/>
      <scheme val="minor"/>
    </font>
    <font>
      <b/>
      <sz val="7"/>
      <name val="Calibri"/>
      <family val="2"/>
      <scheme val="minor"/>
    </font>
    <font>
      <b/>
      <sz val="6"/>
      <name val="Calibri"/>
      <family val="2"/>
      <scheme val="minor"/>
    </font>
    <font>
      <b/>
      <sz val="11"/>
      <color indexed="10"/>
      <name val="Calibri"/>
      <family val="2"/>
      <scheme val="minor"/>
    </font>
    <font>
      <sz val="16"/>
      <name val="Calibri"/>
      <family val="2"/>
      <scheme val="minor"/>
    </font>
    <font>
      <b/>
      <sz val="20"/>
      <color indexed="10"/>
      <name val="Calibri"/>
      <family val="2"/>
      <scheme val="minor"/>
    </font>
    <font>
      <b/>
      <u/>
      <sz val="13"/>
      <name val="Calibri"/>
      <family val="2"/>
      <scheme val="minor"/>
    </font>
    <font>
      <b/>
      <sz val="13"/>
      <color rgb="FFFF0000"/>
      <name val="Calibri"/>
      <family val="2"/>
      <scheme val="minor"/>
    </font>
    <font>
      <b/>
      <u/>
      <sz val="16"/>
      <name val="Calibri"/>
      <family val="2"/>
      <scheme val="minor"/>
    </font>
    <font>
      <b/>
      <sz val="13"/>
      <name val="Calibri"/>
      <family val="2"/>
      <scheme val="minor"/>
    </font>
    <font>
      <b/>
      <u/>
      <sz val="13"/>
      <color indexed="9"/>
      <name val="Calibri"/>
      <family val="2"/>
      <scheme val="minor"/>
    </font>
    <font>
      <b/>
      <sz val="14"/>
      <color indexed="62"/>
      <name val="Calibri"/>
      <family val="2"/>
      <scheme val="minor"/>
    </font>
    <font>
      <b/>
      <u/>
      <sz val="14"/>
      <name val="Calibri"/>
      <family val="2"/>
      <scheme val="minor"/>
    </font>
    <font>
      <b/>
      <u/>
      <sz val="14"/>
      <color rgb="FF0070C0"/>
      <name val="Calibri"/>
      <family val="2"/>
      <scheme val="minor"/>
    </font>
    <font>
      <b/>
      <sz val="20"/>
      <color indexed="12"/>
      <name val="Calibri"/>
      <family val="2"/>
      <scheme val="minor"/>
    </font>
    <font>
      <b/>
      <sz val="18"/>
      <color rgb="FFC00000"/>
      <name val="Calibri"/>
      <family val="2"/>
      <scheme val="minor"/>
    </font>
    <font>
      <b/>
      <i/>
      <sz val="14"/>
      <name val="Calibri"/>
      <family val="2"/>
      <scheme val="minor"/>
    </font>
    <font>
      <b/>
      <sz val="9"/>
      <color theme="0"/>
      <name val="Arial"/>
      <family val="2"/>
    </font>
    <font>
      <b/>
      <sz val="18"/>
      <color theme="1"/>
      <name val="Calibri"/>
      <family val="2"/>
      <scheme val="minor"/>
    </font>
    <font>
      <sz val="12"/>
      <color theme="1" tint="0.499984740745262"/>
      <name val="Calibri"/>
      <family val="2"/>
      <scheme val="minor"/>
    </font>
    <font>
      <sz val="12"/>
      <color theme="4"/>
      <name val="Calibri"/>
      <family val="2"/>
      <scheme val="minor"/>
    </font>
    <font>
      <sz val="9"/>
      <color theme="1"/>
      <name val="Calibri"/>
      <family val="2"/>
      <scheme val="minor"/>
    </font>
    <font>
      <b/>
      <sz val="12"/>
      <color rgb="FF0000FF"/>
      <name val="Calibri"/>
      <family val="2"/>
      <scheme val="minor"/>
    </font>
    <font>
      <b/>
      <sz val="18"/>
      <color rgb="FF0000FF"/>
      <name val="Calibri"/>
      <family val="2"/>
      <scheme val="minor"/>
    </font>
    <font>
      <b/>
      <sz val="16"/>
      <color rgb="FF00B050"/>
      <name val="Calibri"/>
      <family val="2"/>
      <scheme val="minor"/>
    </font>
    <font>
      <b/>
      <sz val="16"/>
      <color rgb="FF0000FF"/>
      <name val="Calibri"/>
      <family val="2"/>
      <scheme val="minor"/>
    </font>
    <font>
      <b/>
      <sz val="11"/>
      <color rgb="FF0000FF"/>
      <name val="Calibri"/>
      <family val="2"/>
      <scheme val="minor"/>
    </font>
    <font>
      <b/>
      <sz val="12"/>
      <color indexed="12"/>
      <name val="Calibri"/>
      <family val="2"/>
      <scheme val="minor"/>
    </font>
    <font>
      <b/>
      <sz val="14"/>
      <color indexed="10"/>
      <name val="Calibri"/>
      <family val="2"/>
      <scheme val="minor"/>
    </font>
    <font>
      <b/>
      <sz val="12"/>
      <color theme="9" tint="-0.249977111117893"/>
      <name val="Calibri"/>
      <family val="2"/>
      <scheme val="minor"/>
    </font>
    <font>
      <b/>
      <sz val="14"/>
      <color rgb="FFFF0000"/>
      <name val="Calibri"/>
      <family val="2"/>
      <scheme val="minor"/>
    </font>
    <font>
      <b/>
      <sz val="16"/>
      <color rgb="FFFF0000"/>
      <name val="Calibri"/>
      <family val="2"/>
      <scheme val="minor"/>
    </font>
    <font>
      <u/>
      <sz val="16"/>
      <name val="Calibri"/>
      <family val="2"/>
      <scheme val="minor"/>
    </font>
    <font>
      <i/>
      <sz val="14"/>
      <color theme="1"/>
      <name val="Calibri"/>
      <family val="2"/>
      <scheme val="minor"/>
    </font>
    <font>
      <b/>
      <sz val="16"/>
      <color rgb="FF0070C0"/>
      <name val="Calibri"/>
      <family val="2"/>
      <scheme val="minor"/>
    </font>
    <font>
      <b/>
      <u/>
      <sz val="16"/>
      <color theme="10"/>
      <name val="Calibri"/>
      <family val="2"/>
      <scheme val="minor"/>
    </font>
    <font>
      <b/>
      <u/>
      <sz val="14"/>
      <color theme="10"/>
      <name val="Calibri"/>
      <family val="2"/>
      <scheme val="minor"/>
    </font>
    <font>
      <b/>
      <sz val="14"/>
      <color theme="0"/>
      <name val="Calibri"/>
      <family val="2"/>
      <scheme val="minor"/>
    </font>
    <font>
      <sz val="10"/>
      <color theme="1"/>
      <name val="Calibri"/>
      <family val="2"/>
      <scheme val="minor"/>
    </font>
    <font>
      <sz val="6"/>
      <color indexed="22"/>
      <name val="Calibri"/>
      <family val="2"/>
      <scheme val="minor"/>
    </font>
    <font>
      <b/>
      <sz val="6"/>
      <color indexed="22"/>
      <name val="Calibri"/>
      <family val="2"/>
      <scheme val="minor"/>
    </font>
    <font>
      <b/>
      <sz val="12"/>
      <color indexed="17"/>
      <name val="Calibri"/>
      <family val="2"/>
      <scheme val="minor"/>
    </font>
    <font>
      <b/>
      <sz val="15"/>
      <name val="Calibri"/>
      <family val="2"/>
      <scheme val="minor"/>
    </font>
    <font>
      <b/>
      <sz val="14"/>
      <color rgb="FF34373A"/>
      <name val="Calibri"/>
      <family val="2"/>
      <scheme val="minor"/>
    </font>
    <font>
      <b/>
      <sz val="11"/>
      <color indexed="17"/>
      <name val="Calibri"/>
      <family val="2"/>
      <scheme val="minor"/>
    </font>
    <font>
      <sz val="9"/>
      <color indexed="22"/>
      <name val="Calibri"/>
      <family val="2"/>
      <scheme val="minor"/>
    </font>
    <font>
      <sz val="25"/>
      <name val="Calibri"/>
      <family val="2"/>
      <scheme val="minor"/>
    </font>
    <font>
      <sz val="25"/>
      <color indexed="10"/>
      <name val="Calibri"/>
      <family val="2"/>
      <scheme val="minor"/>
    </font>
    <font>
      <b/>
      <sz val="25"/>
      <color indexed="10"/>
      <name val="Calibri"/>
      <family val="2"/>
      <scheme val="minor"/>
    </font>
    <font>
      <sz val="24"/>
      <name val="Calibri"/>
      <family val="2"/>
      <scheme val="minor"/>
    </font>
    <font>
      <b/>
      <sz val="24"/>
      <name val="Calibri"/>
      <family val="2"/>
      <scheme val="minor"/>
    </font>
    <font>
      <sz val="22"/>
      <name val="Calibri"/>
      <family val="2"/>
      <scheme val="minor"/>
    </font>
    <font>
      <b/>
      <sz val="22"/>
      <color indexed="10"/>
      <name val="Calibri"/>
      <family val="2"/>
      <scheme val="minor"/>
    </font>
    <font>
      <sz val="20"/>
      <name val="Calibri"/>
      <family val="2"/>
      <scheme val="minor"/>
    </font>
    <font>
      <sz val="20"/>
      <color indexed="10"/>
      <name val="Calibri"/>
      <family val="2"/>
      <scheme val="minor"/>
    </font>
    <font>
      <sz val="16"/>
      <color indexed="10"/>
      <name val="Arial"/>
      <family val="2"/>
    </font>
    <font>
      <sz val="18"/>
      <name val="Calibri"/>
      <family val="2"/>
      <scheme val="minor"/>
    </font>
    <font>
      <b/>
      <sz val="12"/>
      <color indexed="10"/>
      <name val="Calibri"/>
      <family val="2"/>
    </font>
    <font>
      <sz val="12"/>
      <color indexed="10"/>
      <name val="Calibri"/>
      <family val="2"/>
    </font>
    <font>
      <u/>
      <sz val="12"/>
      <color indexed="10"/>
      <name val="Calibri"/>
      <family val="2"/>
    </font>
    <font>
      <u/>
      <sz val="12"/>
      <color indexed="8"/>
      <name val="Calibri"/>
      <family val="2"/>
    </font>
    <font>
      <sz val="12"/>
      <color indexed="8"/>
      <name val="Calibri"/>
      <family val="2"/>
    </font>
    <font>
      <sz val="12"/>
      <color indexed="9"/>
      <name val="Arial"/>
      <family val="2"/>
    </font>
    <font>
      <sz val="12"/>
      <color indexed="56"/>
      <name val="Calibri"/>
      <family val="2"/>
    </font>
    <font>
      <b/>
      <sz val="12"/>
      <color indexed="30"/>
      <name val="Calibri"/>
      <family val="2"/>
    </font>
    <font>
      <sz val="14"/>
      <color indexed="10"/>
      <name val="Calibri"/>
      <family val="2"/>
      <scheme val="minor"/>
    </font>
    <font>
      <b/>
      <sz val="26"/>
      <color theme="1"/>
      <name val="Calibri"/>
      <family val="2"/>
      <scheme val="minor"/>
    </font>
    <font>
      <sz val="16"/>
      <name val="Verdana"/>
      <family val="2"/>
    </font>
    <font>
      <sz val="12"/>
      <name val="Verdana"/>
      <family val="2"/>
    </font>
    <font>
      <sz val="20"/>
      <color indexed="9"/>
      <name val="Calibri"/>
      <family val="2"/>
      <scheme val="minor"/>
    </font>
    <font>
      <b/>
      <sz val="16"/>
      <color indexed="9"/>
      <name val="Calibri"/>
      <family val="2"/>
      <scheme val="minor"/>
    </font>
    <font>
      <b/>
      <i/>
      <sz val="16"/>
      <name val="Calibri"/>
      <family val="2"/>
      <scheme val="minor"/>
    </font>
    <font>
      <b/>
      <i/>
      <sz val="18"/>
      <name val="Calibri"/>
      <family val="2"/>
      <scheme val="minor"/>
    </font>
    <font>
      <b/>
      <sz val="20"/>
      <color rgb="FFFF0000"/>
      <name val="Calibri"/>
      <family val="2"/>
      <scheme val="minor"/>
    </font>
    <font>
      <u/>
      <sz val="14"/>
      <color theme="10"/>
      <name val="Calibri"/>
      <family val="2"/>
      <scheme val="minor"/>
    </font>
    <font>
      <b/>
      <sz val="10"/>
      <name val="Arial"/>
      <family val="2"/>
    </font>
    <font>
      <b/>
      <sz val="12"/>
      <name val="Arial"/>
      <family val="2"/>
    </font>
    <font>
      <i/>
      <sz val="8"/>
      <name val="Arial"/>
      <family val="2"/>
    </font>
    <font>
      <b/>
      <sz val="12"/>
      <color rgb="FFFF0000"/>
      <name val="Arial"/>
      <family val="2"/>
    </font>
    <font>
      <b/>
      <sz val="18"/>
      <color rgb="FFFF0000"/>
      <name val="Calibri"/>
      <family val="2"/>
      <scheme val="minor"/>
    </font>
    <font>
      <b/>
      <sz val="18"/>
      <color theme="1" tint="0.499984740745262"/>
      <name val="Calibri"/>
      <family val="2"/>
      <scheme val="minor"/>
    </font>
    <font>
      <b/>
      <sz val="9"/>
      <color rgb="FFC00000"/>
      <name val="Calibri"/>
      <family val="2"/>
      <scheme val="minor"/>
    </font>
    <font>
      <b/>
      <sz val="11"/>
      <color rgb="FFC00000"/>
      <name val="Calibri"/>
      <family val="2"/>
      <scheme val="minor"/>
    </font>
    <font>
      <b/>
      <sz val="8"/>
      <color rgb="FFC00000"/>
      <name val="Calibri"/>
      <family val="2"/>
      <scheme val="minor"/>
    </font>
    <font>
      <sz val="10"/>
      <color indexed="12"/>
      <name val="Calibri"/>
      <family val="2"/>
      <scheme val="minor"/>
    </font>
    <font>
      <u/>
      <sz val="8.25"/>
      <color indexed="12"/>
      <name val="Calibri"/>
      <family val="2"/>
    </font>
    <font>
      <sz val="14"/>
      <color theme="1"/>
      <name val="Calibri"/>
      <family val="2"/>
      <scheme val="minor"/>
    </font>
    <font>
      <b/>
      <i/>
      <sz val="10"/>
      <color rgb="FF008000"/>
      <name val="Calibri"/>
      <family val="2"/>
      <scheme val="minor"/>
    </font>
    <font>
      <sz val="12"/>
      <color theme="1" tint="0.34998626667073579"/>
      <name val="Calibri"/>
      <family val="2"/>
      <scheme val="minor"/>
    </font>
    <font>
      <b/>
      <sz val="24"/>
      <color rgb="FFFFFF00"/>
      <name val="Arial"/>
      <family val="2"/>
    </font>
  </fonts>
  <fills count="69">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2"/>
        <bgColor indexed="64"/>
      </patternFill>
    </fill>
    <fill>
      <patternFill patternType="solid">
        <fgColor indexed="31"/>
        <bgColor indexed="64"/>
      </patternFill>
    </fill>
    <fill>
      <patternFill patternType="solid">
        <fgColor indexed="31"/>
        <bgColor indexed="31"/>
      </patternFill>
    </fill>
    <fill>
      <patternFill patternType="solid">
        <fgColor indexed="11"/>
        <bgColor indexed="64"/>
      </patternFill>
    </fill>
    <fill>
      <patternFill patternType="solid">
        <fgColor theme="5"/>
        <bgColor indexed="64"/>
      </patternFill>
    </fill>
    <fill>
      <patternFill patternType="solid">
        <fgColor rgb="FFFF9900"/>
        <bgColor indexed="64"/>
      </patternFill>
    </fill>
    <fill>
      <patternFill patternType="solid">
        <fgColor theme="7" tint="0.59999389629810485"/>
        <bgColor indexed="64"/>
      </patternFill>
    </fill>
    <fill>
      <patternFill patternType="solid">
        <fgColor indexed="10"/>
        <bgColor indexed="64"/>
      </patternFill>
    </fill>
    <fill>
      <patternFill patternType="solid">
        <fgColor theme="7" tint="-0.249977111117893"/>
        <bgColor indexed="64"/>
      </patternFill>
    </fill>
    <fill>
      <patternFill patternType="solid">
        <fgColor theme="1" tint="0.34998626667073579"/>
        <bgColor indexed="64"/>
      </patternFill>
    </fill>
    <fill>
      <patternFill patternType="solid">
        <fgColor indexed="43"/>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solid">
        <fgColor indexed="9"/>
        <bgColor indexed="64"/>
      </patternFill>
    </fill>
    <fill>
      <patternFill patternType="gray0625">
        <fgColor theme="9" tint="0.79998168889431442"/>
        <bgColor rgb="FFEAFFD5"/>
      </patternFill>
    </fill>
    <fill>
      <patternFill patternType="solid">
        <fgColor rgb="FFFDF1E7"/>
        <bgColor indexed="9"/>
      </patternFill>
    </fill>
    <fill>
      <patternFill patternType="solid">
        <fgColor theme="7" tint="0.39997558519241921"/>
        <bgColor indexed="64"/>
      </patternFill>
    </fill>
    <fill>
      <patternFill patternType="solid">
        <fgColor indexed="47"/>
        <bgColor indexed="64"/>
      </patternFill>
    </fill>
    <fill>
      <patternFill patternType="solid">
        <fgColor indexed="12"/>
        <bgColor indexed="64"/>
      </patternFill>
    </fill>
    <fill>
      <patternFill patternType="solid">
        <fgColor indexed="26"/>
        <bgColor indexed="64"/>
      </patternFill>
    </fill>
    <fill>
      <patternFill patternType="solid">
        <fgColor indexed="17"/>
        <bgColor indexed="64"/>
      </patternFill>
    </fill>
    <fill>
      <patternFill patternType="solid">
        <fgColor indexed="40"/>
        <bgColor indexed="64"/>
      </patternFill>
    </fill>
    <fill>
      <patternFill patternType="solid">
        <fgColor indexed="45"/>
        <bgColor indexed="64"/>
      </patternFill>
    </fill>
    <fill>
      <patternFill patternType="solid">
        <fgColor indexed="52"/>
        <bgColor indexed="64"/>
      </patternFill>
    </fill>
    <fill>
      <patternFill patternType="solid">
        <fgColor indexed="50"/>
        <bgColor indexed="64"/>
      </patternFill>
    </fill>
    <fill>
      <patternFill patternType="solid">
        <fgColor indexed="33"/>
        <bgColor indexed="9"/>
      </patternFill>
    </fill>
    <fill>
      <patternFill patternType="solid">
        <fgColor indexed="41"/>
        <bgColor indexed="64"/>
      </patternFill>
    </fill>
    <fill>
      <patternFill patternType="solid">
        <fgColor indexed="14"/>
        <bgColor indexed="64"/>
      </patternFill>
    </fill>
    <fill>
      <patternFill patternType="solid">
        <fgColor indexed="8"/>
        <bgColor indexed="64"/>
      </patternFill>
    </fill>
    <fill>
      <patternFill patternType="solid">
        <fgColor rgb="FFC00000"/>
        <bgColor indexed="64"/>
      </patternFill>
    </fill>
    <fill>
      <patternFill patternType="solid">
        <fgColor theme="7" tint="0.79998168889431442"/>
        <bgColor indexed="64"/>
      </patternFill>
    </fill>
    <fill>
      <patternFill patternType="solid">
        <fgColor rgb="FFC1EFFF"/>
        <bgColor indexed="64"/>
      </patternFill>
    </fill>
    <fill>
      <patternFill patternType="solid">
        <fgColor indexed="65"/>
        <bgColor indexed="64"/>
      </patternFill>
    </fill>
    <fill>
      <patternFill patternType="solid">
        <fgColor indexed="42"/>
        <bgColor indexed="42"/>
      </patternFill>
    </fill>
    <fill>
      <patternFill patternType="solid">
        <fgColor indexed="13"/>
        <bgColor indexed="9"/>
      </patternFill>
    </fill>
    <fill>
      <patternFill patternType="gray125">
        <fgColor indexed="11"/>
        <bgColor indexed="42"/>
      </patternFill>
    </fill>
    <fill>
      <patternFill patternType="solid">
        <fgColor indexed="9"/>
        <bgColor indexed="26"/>
      </patternFill>
    </fill>
    <fill>
      <patternFill patternType="solid">
        <fgColor indexed="22"/>
        <bgColor indexed="64"/>
      </patternFill>
    </fill>
    <fill>
      <patternFill patternType="solid">
        <fgColor indexed="43"/>
        <bgColor indexed="9"/>
      </patternFill>
    </fill>
    <fill>
      <patternFill patternType="solid">
        <fgColor theme="0"/>
        <bgColor indexed="26"/>
      </patternFill>
    </fill>
    <fill>
      <patternFill patternType="solid">
        <fgColor theme="7" tint="0.3999450666829432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indexed="52"/>
      </patternFill>
    </fill>
    <fill>
      <patternFill patternType="solid">
        <fgColor rgb="FFCCFFFF"/>
        <bgColor indexed="64"/>
      </patternFill>
    </fill>
    <fill>
      <patternFill patternType="solid">
        <fgColor rgb="FFCCFFCC"/>
        <bgColor indexed="64"/>
      </patternFill>
    </fill>
    <fill>
      <patternFill patternType="solid">
        <fgColor rgb="FFFFCC99"/>
        <bgColor indexed="64"/>
      </patternFill>
    </fill>
    <fill>
      <patternFill patternType="solid">
        <fgColor rgb="FFFF00FF"/>
        <bgColor indexed="64"/>
      </patternFill>
    </fill>
    <fill>
      <patternFill patternType="solid">
        <fgColor theme="4"/>
        <bgColor theme="4"/>
      </patternFill>
    </fill>
    <fill>
      <patternFill patternType="solid">
        <fgColor rgb="FF00FF00"/>
        <bgColor indexed="64"/>
      </patternFill>
    </fill>
    <fill>
      <patternFill patternType="solid">
        <fgColor rgb="FFECF0F8"/>
        <bgColor theme="4" tint="0.79995117038483843"/>
      </patternFill>
    </fill>
    <fill>
      <patternFill patternType="solid">
        <fgColor rgb="FFFF33CC"/>
        <bgColor indexed="64"/>
      </patternFill>
    </fill>
    <fill>
      <patternFill patternType="solid">
        <fgColor rgb="FFFFFFFF"/>
        <bgColor indexed="64"/>
      </patternFill>
    </fill>
    <fill>
      <patternFill patternType="solid">
        <fgColor rgb="FFFFFFCC"/>
        <bgColor indexed="64"/>
      </patternFill>
    </fill>
    <fill>
      <patternFill patternType="solid">
        <fgColor theme="7"/>
        <bgColor indexed="64"/>
      </patternFill>
    </fill>
    <fill>
      <patternFill patternType="lightGray">
        <fgColor indexed="45"/>
      </patternFill>
    </fill>
    <fill>
      <patternFill patternType="solid">
        <fgColor theme="5" tint="0.79998168889431442"/>
        <bgColor indexed="64"/>
      </patternFill>
    </fill>
  </fills>
  <borders count="28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hair">
        <color auto="1"/>
      </left>
      <right style="thin">
        <color auto="1"/>
      </right>
      <top/>
      <bottom/>
      <diagonal/>
    </border>
    <border>
      <left/>
      <right style="thin">
        <color auto="1"/>
      </right>
      <top/>
      <bottom/>
      <diagonal/>
    </border>
    <border>
      <left/>
      <right/>
      <top style="thin">
        <color auto="1"/>
      </top>
      <bottom style="thin">
        <color auto="1"/>
      </bottom>
      <diagonal/>
    </border>
    <border>
      <left style="thin">
        <color auto="1"/>
      </left>
      <right/>
      <top/>
      <bottom/>
      <diagonal/>
    </border>
    <border>
      <left/>
      <right/>
      <top style="medium">
        <color auto="1"/>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medium">
        <color auto="1"/>
      </bottom>
      <diagonal/>
    </border>
    <border>
      <left/>
      <right style="hair">
        <color auto="1"/>
      </right>
      <top/>
      <bottom/>
      <diagonal/>
    </border>
    <border>
      <left/>
      <right style="medium">
        <color auto="1"/>
      </right>
      <top/>
      <bottom style="medium">
        <color auto="1"/>
      </bottom>
      <diagonal/>
    </border>
    <border>
      <left/>
      <right style="medium">
        <color auto="1"/>
      </right>
      <top/>
      <bottom/>
      <diagonal/>
    </border>
    <border>
      <left/>
      <right style="hair">
        <color auto="1"/>
      </right>
      <top style="dashed">
        <color auto="1"/>
      </top>
      <bottom style="medium">
        <color auto="1"/>
      </bottom>
      <diagonal/>
    </border>
    <border>
      <left/>
      <right style="thin">
        <color auto="1"/>
      </right>
      <top style="dashed">
        <color auto="1"/>
      </top>
      <bottom style="medium">
        <color auto="1"/>
      </bottom>
      <diagonal/>
    </border>
    <border>
      <left style="hair">
        <color auto="1"/>
      </left>
      <right style="hair">
        <color auto="1"/>
      </right>
      <top style="dashed">
        <color auto="1"/>
      </top>
      <bottom style="medium">
        <color auto="1"/>
      </bottom>
      <diagonal/>
    </border>
    <border>
      <left style="medium">
        <color auto="1"/>
      </left>
      <right/>
      <top style="medium">
        <color auto="1"/>
      </top>
      <bottom/>
      <diagonal/>
    </border>
    <border>
      <left/>
      <right style="medium">
        <color indexed="64"/>
      </right>
      <top style="medium">
        <color auto="1"/>
      </top>
      <bottom/>
      <diagonal/>
    </border>
    <border>
      <left style="medium">
        <color indexed="64"/>
      </left>
      <right/>
      <top/>
      <bottom style="medium">
        <color indexed="64"/>
      </bottom>
      <diagonal/>
    </border>
    <border>
      <left/>
      <right/>
      <top style="hair">
        <color indexed="64"/>
      </top>
      <bottom style="hair">
        <color indexed="64"/>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medium">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double">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medium">
        <color indexed="64"/>
      </right>
      <top/>
      <bottom style="double">
        <color indexed="64"/>
      </bottom>
      <diagonal/>
    </border>
    <border>
      <left style="thin">
        <color indexed="64"/>
      </left>
      <right/>
      <top style="hair">
        <color indexed="64"/>
      </top>
      <bottom/>
      <diagonal/>
    </border>
    <border>
      <left/>
      <right style="thin">
        <color auto="1"/>
      </right>
      <top style="medium">
        <color auto="1"/>
      </top>
      <bottom/>
      <diagonal/>
    </border>
    <border>
      <left/>
      <right style="hair">
        <color auto="1"/>
      </right>
      <top style="medium">
        <color auto="1"/>
      </top>
      <bottom/>
      <diagonal/>
    </border>
    <border>
      <left style="hair">
        <color auto="1"/>
      </left>
      <right style="hair">
        <color auto="1"/>
      </right>
      <top style="medium">
        <color auto="1"/>
      </top>
      <bottom/>
      <diagonal/>
    </border>
    <border>
      <left/>
      <right style="hair">
        <color auto="1"/>
      </right>
      <top style="thin">
        <color auto="1"/>
      </top>
      <bottom/>
      <diagonal/>
    </border>
    <border>
      <left style="hair">
        <color auto="1"/>
      </left>
      <right/>
      <top style="medium">
        <color auto="1"/>
      </top>
      <bottom/>
      <diagonal/>
    </border>
    <border>
      <left style="hair">
        <color auto="1"/>
      </left>
      <right/>
      <top/>
      <bottom/>
      <diagonal/>
    </border>
    <border>
      <left style="thin">
        <color auto="1"/>
      </left>
      <right/>
      <top style="medium">
        <color auto="1"/>
      </top>
      <bottom/>
      <diagonal/>
    </border>
    <border>
      <left style="hair">
        <color auto="1"/>
      </left>
      <right style="hair">
        <color auto="1"/>
      </right>
      <top style="hair">
        <color auto="1"/>
      </top>
      <bottom style="thin">
        <color auto="1"/>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16"/>
      </top>
      <bottom/>
      <diagonal/>
    </border>
    <border>
      <left style="thin">
        <color indexed="16"/>
      </left>
      <right/>
      <top style="thin">
        <color indexed="16"/>
      </top>
      <bottom/>
      <diagonal/>
    </border>
    <border>
      <left style="thin">
        <color indexed="64"/>
      </left>
      <right/>
      <top/>
      <bottom/>
      <diagonal/>
    </border>
    <border>
      <left/>
      <right style="thin">
        <color indexed="16"/>
      </right>
      <top style="thin">
        <color indexed="16"/>
      </top>
      <bottom/>
      <diagonal/>
    </border>
    <border>
      <left style="hair">
        <color indexed="64"/>
      </left>
      <right/>
      <top style="hair">
        <color indexed="64"/>
      </top>
      <bottom/>
      <diagonal/>
    </border>
    <border>
      <left/>
      <right style="thin">
        <color indexed="16"/>
      </right>
      <top style="hair">
        <color indexed="64"/>
      </top>
      <bottom/>
      <diagonal/>
    </border>
    <border>
      <left/>
      <right style="thin">
        <color indexed="16"/>
      </right>
      <top/>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9"/>
      </top>
      <bottom/>
      <diagonal/>
    </border>
    <border>
      <left/>
      <right style="hair">
        <color indexed="64"/>
      </right>
      <top style="hair">
        <color indexed="64"/>
      </top>
      <bottom/>
      <diagonal/>
    </border>
    <border>
      <left/>
      <right style="hair">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bottom/>
      <diagonal/>
    </border>
    <border>
      <left style="thin">
        <color indexed="64"/>
      </left>
      <right style="thin">
        <color indexed="64"/>
      </right>
      <top/>
      <bottom style="hair">
        <color indexed="64"/>
      </bottom>
      <diagonal/>
    </border>
    <border>
      <left/>
      <right style="medium">
        <color indexed="64"/>
      </right>
      <top/>
      <bottom/>
      <diagonal/>
    </border>
    <border>
      <left style="medium">
        <color indexed="64"/>
      </left>
      <right style="hair">
        <color indexed="64"/>
      </right>
      <top style="hair">
        <color indexed="64"/>
      </top>
      <bottom/>
      <diagonal/>
    </border>
    <border>
      <left style="thin">
        <color indexed="64"/>
      </left>
      <right/>
      <top/>
      <bottom style="hair">
        <color indexed="37"/>
      </bottom>
      <diagonal/>
    </border>
    <border>
      <left/>
      <right/>
      <top/>
      <bottom style="hair">
        <color indexed="37"/>
      </bottom>
      <diagonal/>
    </border>
    <border>
      <left/>
      <right style="hair">
        <color indexed="64"/>
      </right>
      <top/>
      <bottom style="hair">
        <color indexed="37"/>
      </bottom>
      <diagonal/>
    </border>
    <border>
      <left/>
      <right style="thin">
        <color indexed="64"/>
      </right>
      <top/>
      <bottom style="hair">
        <color indexed="37"/>
      </bottom>
      <diagonal/>
    </border>
    <border>
      <left style="thin">
        <color indexed="64"/>
      </left>
      <right/>
      <top style="hair">
        <color indexed="37"/>
      </top>
      <bottom style="thin">
        <color indexed="64"/>
      </bottom>
      <diagonal/>
    </border>
    <border>
      <left/>
      <right/>
      <top style="hair">
        <color indexed="37"/>
      </top>
      <bottom style="thin">
        <color indexed="64"/>
      </bottom>
      <diagonal/>
    </border>
    <border>
      <left/>
      <right style="thin">
        <color indexed="64"/>
      </right>
      <top style="hair">
        <color indexed="37"/>
      </top>
      <bottom style="thin">
        <color indexed="64"/>
      </bottom>
      <diagonal/>
    </border>
    <border>
      <left style="double">
        <color indexed="14"/>
      </left>
      <right style="double">
        <color indexed="14"/>
      </right>
      <top style="double">
        <color indexed="14"/>
      </top>
      <bottom style="double">
        <color indexed="1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55"/>
      </left>
      <right/>
      <top/>
      <bottom/>
      <diagonal/>
    </border>
    <border>
      <left style="thin">
        <color indexed="55"/>
      </left>
      <right style="thin">
        <color indexed="55"/>
      </right>
      <top style="thin">
        <color indexed="55"/>
      </top>
      <bottom style="thin">
        <color indexed="55"/>
      </bottom>
      <diagonal/>
    </border>
    <border>
      <left style="hair">
        <color indexed="64"/>
      </left>
      <right/>
      <top style="hair">
        <color indexed="64"/>
      </top>
      <bottom/>
      <diagonal/>
    </border>
    <border>
      <left style="hair">
        <color indexed="64"/>
      </left>
      <right/>
      <top/>
      <bottom/>
      <diagonal/>
    </border>
    <border>
      <left/>
      <right style="thin">
        <color indexed="16"/>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theme="4"/>
      </left>
      <right/>
      <top style="medium">
        <color theme="4"/>
      </top>
      <bottom style="thin">
        <color theme="4"/>
      </bottom>
      <diagonal/>
    </border>
    <border>
      <left/>
      <right style="medium">
        <color theme="4"/>
      </right>
      <top style="medium">
        <color theme="4"/>
      </top>
      <bottom style="thin">
        <color theme="4"/>
      </bottom>
      <diagonal/>
    </border>
    <border>
      <left style="medium">
        <color indexed="64"/>
      </left>
      <right/>
      <top/>
      <bottom style="hair">
        <color indexed="64"/>
      </bottom>
      <diagonal/>
    </border>
    <border>
      <left style="medium">
        <color theme="4"/>
      </left>
      <right style="dotted">
        <color theme="4"/>
      </right>
      <top style="dotted">
        <color theme="4"/>
      </top>
      <bottom style="dotted">
        <color theme="4"/>
      </bottom>
      <diagonal/>
    </border>
    <border>
      <left/>
      <right style="medium">
        <color theme="4"/>
      </right>
      <top style="dotted">
        <color theme="4"/>
      </top>
      <bottom style="dotted">
        <color theme="4"/>
      </bottom>
      <diagonal/>
    </border>
    <border>
      <left style="medium">
        <color theme="4"/>
      </left>
      <right style="dotted">
        <color theme="4"/>
      </right>
      <top/>
      <bottom style="dotted">
        <color theme="4"/>
      </bottom>
      <diagonal/>
    </border>
    <border>
      <left/>
      <right style="medium">
        <color theme="4"/>
      </right>
      <top/>
      <bottom style="dotted">
        <color theme="4"/>
      </bottom>
      <diagonal/>
    </border>
    <border>
      <left style="medium">
        <color theme="4"/>
      </left>
      <right style="dotted">
        <color theme="4"/>
      </right>
      <top style="dotted">
        <color theme="4"/>
      </top>
      <bottom style="medium">
        <color theme="4"/>
      </bottom>
      <diagonal/>
    </border>
    <border>
      <left/>
      <right style="medium">
        <color theme="4"/>
      </right>
      <top style="dotted">
        <color theme="4"/>
      </top>
      <bottom style="medium">
        <color theme="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indexed="47"/>
      </left>
      <right style="thin">
        <color indexed="47"/>
      </right>
      <top style="thin">
        <color indexed="47"/>
      </top>
      <bottom style="thin">
        <color indexed="47"/>
      </bottom>
      <diagonal/>
    </border>
    <border>
      <left style="double">
        <color indexed="51"/>
      </left>
      <right/>
      <top style="double">
        <color indexed="51"/>
      </top>
      <bottom style="double">
        <color indexed="51"/>
      </bottom>
      <diagonal/>
    </border>
    <border>
      <left/>
      <right/>
      <top style="double">
        <color indexed="51"/>
      </top>
      <bottom style="double">
        <color indexed="51"/>
      </bottom>
      <diagonal/>
    </border>
    <border>
      <left/>
      <right style="double">
        <color indexed="51"/>
      </right>
      <top style="double">
        <color indexed="51"/>
      </top>
      <bottom style="double">
        <color indexed="51"/>
      </bottom>
      <diagonal/>
    </border>
    <border>
      <left/>
      <right style="thin">
        <color indexed="51"/>
      </right>
      <top style="hair">
        <color indexed="51"/>
      </top>
      <bottom style="hair">
        <color indexed="51"/>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thin">
        <color auto="1"/>
      </left>
      <right/>
      <top/>
      <bottom/>
      <diagonal/>
    </border>
    <border>
      <left style="thin">
        <color theme="4" tint="0.39997558519241921"/>
      </left>
      <right/>
      <top/>
      <bottom/>
      <diagonal/>
    </border>
    <border>
      <left/>
      <right/>
      <top style="thin">
        <color theme="4" tint="0.39997558519241921"/>
      </top>
      <bottom/>
      <diagonal/>
    </border>
    <border>
      <left style="hair">
        <color auto="1"/>
      </left>
      <right style="hair">
        <color auto="1"/>
      </right>
      <top style="hair">
        <color auto="1"/>
      </top>
      <bottom/>
      <diagonal/>
    </border>
    <border>
      <left/>
      <right/>
      <top style="medium">
        <color auto="1"/>
      </top>
      <bottom/>
      <diagonal/>
    </border>
    <border>
      <left/>
      <right style="thin">
        <color theme="4" tint="0.39997558519241921"/>
      </right>
      <top style="medium">
        <color auto="1"/>
      </top>
      <bottom style="thin">
        <color theme="4" tint="0.39997558519241921"/>
      </bottom>
      <diagonal/>
    </border>
    <border>
      <left style="hair">
        <color auto="1"/>
      </left>
      <right/>
      <top/>
      <bottom style="medium">
        <color auto="1"/>
      </bottom>
      <diagonal/>
    </border>
    <border>
      <left style="hair">
        <color auto="1"/>
      </left>
      <right style="hair">
        <color auto="1"/>
      </right>
      <top style="hair">
        <color auto="1"/>
      </top>
      <bottom style="medium">
        <color auto="1"/>
      </bottom>
      <diagonal/>
    </border>
    <border>
      <left style="hair">
        <color auto="1"/>
      </left>
      <right/>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style="hair">
        <color auto="1"/>
      </top>
      <bottom/>
      <diagonal/>
    </border>
    <border>
      <left/>
      <right style="thin">
        <color auto="1"/>
      </right>
      <top/>
      <bottom style="medium">
        <color auto="1"/>
      </bottom>
      <diagonal/>
    </border>
    <border>
      <left style="hair">
        <color auto="1"/>
      </left>
      <right/>
      <top style="hair">
        <color auto="1"/>
      </top>
      <bottom/>
      <diagonal/>
    </border>
    <border>
      <left/>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theme="4" tint="0.39997558519241921"/>
      </left>
      <right/>
      <top/>
      <bottom style="thin">
        <color theme="4" tint="0.39997558519241921"/>
      </bottom>
      <diagonal/>
    </border>
    <border>
      <left/>
      <right style="hair">
        <color auto="1"/>
      </right>
      <top/>
      <bottom style="medium">
        <color indexed="64"/>
      </bottom>
      <diagonal/>
    </border>
    <border>
      <left/>
      <right style="thin">
        <color auto="1"/>
      </right>
      <top style="medium">
        <color auto="1"/>
      </top>
      <bottom/>
      <diagonal/>
    </border>
    <border>
      <left/>
      <right/>
      <top/>
      <bottom style="thin">
        <color indexed="64"/>
      </bottom>
      <diagonal/>
    </border>
    <border>
      <left style="hair">
        <color auto="1"/>
      </left>
      <right style="thin">
        <color auto="1"/>
      </right>
      <top/>
      <bottom/>
      <diagonal/>
    </border>
    <border>
      <left style="medium">
        <color indexed="64"/>
      </left>
      <right/>
      <top style="thin">
        <color auto="1"/>
      </top>
      <bottom/>
      <diagonal/>
    </border>
    <border>
      <left style="medium">
        <color auto="1"/>
      </left>
      <right/>
      <top style="hair">
        <color auto="1"/>
      </top>
      <bottom/>
      <diagonal/>
    </border>
    <border>
      <left style="thin">
        <color indexed="64"/>
      </left>
      <right style="medium">
        <color indexed="64"/>
      </right>
      <top/>
      <bottom style="hair">
        <color indexed="64"/>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thin">
        <color auto="1"/>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indexed="64"/>
      </right>
      <top style="thin">
        <color indexed="64"/>
      </top>
      <bottom/>
      <diagonal/>
    </border>
    <border>
      <left/>
      <right/>
      <top style="hair">
        <color indexed="16"/>
      </top>
      <bottom/>
      <diagonal/>
    </border>
    <border>
      <left/>
      <right/>
      <top style="thin">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medium">
        <color indexed="12"/>
      </left>
      <right style="medium">
        <color indexed="12"/>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auto="1"/>
      </left>
      <right style="hair">
        <color auto="1"/>
      </right>
      <top style="medium">
        <color auto="1"/>
      </top>
      <bottom/>
      <diagonal/>
    </border>
    <border>
      <left style="thin">
        <color auto="1"/>
      </left>
      <right style="hair">
        <color auto="1"/>
      </right>
      <top/>
      <bottom style="thin">
        <color indexed="64"/>
      </bottom>
      <diagonal/>
    </border>
    <border>
      <left/>
      <right/>
      <top/>
      <bottom style="thin">
        <color indexed="51"/>
      </bottom>
      <diagonal/>
    </border>
    <border>
      <left style="medium">
        <color theme="5" tint="-0.24994659260841701"/>
      </left>
      <right/>
      <top style="medium">
        <color theme="5" tint="-0.24994659260841701"/>
      </top>
      <bottom style="thin">
        <color indexed="51"/>
      </bottom>
      <diagonal/>
    </border>
    <border>
      <left/>
      <right/>
      <top style="medium">
        <color theme="5" tint="-0.24994659260841701"/>
      </top>
      <bottom style="thin">
        <color indexed="51"/>
      </bottom>
      <diagonal/>
    </border>
    <border>
      <left/>
      <right style="medium">
        <color theme="5" tint="-0.24994659260841701"/>
      </right>
      <top style="medium">
        <color theme="5" tint="-0.24994659260841701"/>
      </top>
      <bottom style="thin">
        <color indexed="51"/>
      </bottom>
      <diagonal/>
    </border>
    <border>
      <left style="medium">
        <color theme="5" tint="-0.24994659260841701"/>
      </left>
      <right/>
      <top style="thin">
        <color indexed="51"/>
      </top>
      <bottom style="thin">
        <color indexed="51"/>
      </bottom>
      <diagonal/>
    </border>
    <border>
      <left/>
      <right/>
      <top style="thin">
        <color indexed="51"/>
      </top>
      <bottom style="thin">
        <color indexed="51"/>
      </bottom>
      <diagonal/>
    </border>
    <border>
      <left/>
      <right style="medium">
        <color theme="5" tint="-0.24994659260841701"/>
      </right>
      <top style="thin">
        <color indexed="51"/>
      </top>
      <bottom style="thin">
        <color indexed="51"/>
      </bottom>
      <diagonal/>
    </border>
    <border>
      <left style="medium">
        <color theme="5" tint="-0.24994659260841701"/>
      </left>
      <right/>
      <top style="thin">
        <color indexed="51"/>
      </top>
      <bottom/>
      <diagonal/>
    </border>
    <border>
      <left/>
      <right style="thin">
        <color indexed="51"/>
      </right>
      <top style="thin">
        <color indexed="51"/>
      </top>
      <bottom style="hair">
        <color indexed="51"/>
      </bottom>
      <diagonal/>
    </border>
    <border>
      <left style="thin">
        <color indexed="51"/>
      </left>
      <right/>
      <top style="thin">
        <color indexed="51"/>
      </top>
      <bottom/>
      <diagonal/>
    </border>
    <border>
      <left/>
      <right style="medium">
        <color theme="5" tint="-0.24994659260841701"/>
      </right>
      <top style="thin">
        <color indexed="51"/>
      </top>
      <bottom/>
      <diagonal/>
    </border>
    <border>
      <left style="medium">
        <color theme="5" tint="-0.24994659260841701"/>
      </left>
      <right/>
      <top/>
      <bottom/>
      <diagonal/>
    </border>
    <border>
      <left/>
      <right style="thin">
        <color indexed="51"/>
      </right>
      <top style="hair">
        <color indexed="51"/>
      </top>
      <bottom style="hair">
        <color indexed="51"/>
      </bottom>
      <diagonal/>
    </border>
    <border>
      <left style="thin">
        <color indexed="51"/>
      </left>
      <right/>
      <top/>
      <bottom/>
      <diagonal/>
    </border>
    <border>
      <left/>
      <right style="medium">
        <color theme="5" tint="-0.24994659260841701"/>
      </right>
      <top/>
      <bottom/>
      <diagonal/>
    </border>
    <border>
      <left/>
      <right style="thin">
        <color indexed="51"/>
      </right>
      <top style="hair">
        <color indexed="51"/>
      </top>
      <bottom style="thin">
        <color indexed="51"/>
      </bottom>
      <diagonal/>
    </border>
    <border>
      <left style="medium">
        <color theme="5" tint="-0.24994659260841701"/>
      </left>
      <right/>
      <top/>
      <bottom style="thin">
        <color indexed="51"/>
      </bottom>
      <diagonal/>
    </border>
    <border>
      <left style="thin">
        <color indexed="51"/>
      </left>
      <right/>
      <top/>
      <bottom style="thin">
        <color indexed="51"/>
      </bottom>
      <diagonal/>
    </border>
    <border>
      <left/>
      <right style="medium">
        <color theme="5" tint="-0.24994659260841701"/>
      </right>
      <top/>
      <bottom style="thin">
        <color indexed="51"/>
      </bottom>
      <diagonal/>
    </border>
    <border>
      <left style="medium">
        <color theme="5" tint="-0.24994659260841701"/>
      </left>
      <right/>
      <top style="thin">
        <color indexed="51"/>
      </top>
      <bottom style="medium">
        <color theme="5" tint="-0.24994659260841701"/>
      </bottom>
      <diagonal/>
    </border>
    <border>
      <left/>
      <right style="thin">
        <color indexed="51"/>
      </right>
      <top style="thin">
        <color indexed="51"/>
      </top>
      <bottom style="medium">
        <color theme="5" tint="-0.24994659260841701"/>
      </bottom>
      <diagonal/>
    </border>
    <border>
      <left style="thin">
        <color indexed="51"/>
      </left>
      <right/>
      <top style="thin">
        <color indexed="51"/>
      </top>
      <bottom style="medium">
        <color theme="5" tint="-0.24994659260841701"/>
      </bottom>
      <diagonal/>
    </border>
    <border>
      <left/>
      <right/>
      <top style="thin">
        <color indexed="51"/>
      </top>
      <bottom style="medium">
        <color theme="5" tint="-0.24994659260841701"/>
      </bottom>
      <diagonal/>
    </border>
    <border>
      <left/>
      <right style="medium">
        <color theme="5" tint="-0.24994659260841701"/>
      </right>
      <top/>
      <bottom style="medium">
        <color theme="5" tint="-0.24994659260841701"/>
      </bottom>
      <diagonal/>
    </border>
    <border>
      <left style="double">
        <color theme="5" tint="-0.24994659260841701"/>
      </left>
      <right/>
      <top style="double">
        <color theme="5" tint="-0.24994659260841701"/>
      </top>
      <bottom style="double">
        <color theme="5" tint="-0.24994659260841701"/>
      </bottom>
      <diagonal/>
    </border>
    <border>
      <left/>
      <right/>
      <top style="double">
        <color theme="5" tint="-0.24994659260841701"/>
      </top>
      <bottom style="double">
        <color theme="5" tint="-0.24994659260841701"/>
      </bottom>
      <diagonal/>
    </border>
    <border>
      <left/>
      <right style="double">
        <color theme="5" tint="-0.24994659260841701"/>
      </right>
      <top style="double">
        <color theme="5" tint="-0.24994659260841701"/>
      </top>
      <bottom style="double">
        <color theme="5" tint="-0.2499465926084170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bottom/>
      <diagonal/>
    </border>
    <border>
      <left/>
      <right/>
      <top/>
      <bottom style="thin">
        <color indexed="37"/>
      </bottom>
      <diagonal/>
    </border>
    <border>
      <left/>
      <right style="hair">
        <color indexed="64"/>
      </right>
      <top/>
      <bottom style="thin">
        <color indexed="37"/>
      </bottom>
      <diagonal/>
    </border>
    <border>
      <left/>
      <right style="thin">
        <color indexed="64"/>
      </right>
      <top/>
      <bottom style="thin">
        <color indexed="37"/>
      </bottom>
      <diagonal/>
    </border>
    <border>
      <left style="thin">
        <color indexed="64"/>
      </left>
      <right/>
      <top style="thin">
        <color indexed="37"/>
      </top>
      <bottom style="thin">
        <color indexed="37"/>
      </bottom>
      <diagonal/>
    </border>
    <border>
      <left/>
      <right/>
      <top style="thin">
        <color indexed="37"/>
      </top>
      <bottom style="thin">
        <color indexed="37"/>
      </bottom>
      <diagonal/>
    </border>
    <border>
      <left/>
      <right style="thin">
        <color indexed="64"/>
      </right>
      <top style="thin">
        <color indexed="37"/>
      </top>
      <bottom style="thin">
        <color indexed="37"/>
      </bottom>
      <diagonal/>
    </border>
    <border>
      <left style="thin">
        <color indexed="64"/>
      </left>
      <right/>
      <top style="double">
        <color indexed="9"/>
      </top>
      <bottom/>
      <diagonal/>
    </border>
    <border>
      <left/>
      <right style="thin">
        <color indexed="64"/>
      </right>
      <top style="double">
        <color indexed="9"/>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theme="5" tint="-0.24994659260841701"/>
      </bottom>
      <diagonal/>
    </border>
    <border>
      <left/>
      <right style="double">
        <color theme="5" tint="-0.24994659260841701"/>
      </right>
      <top/>
      <bottom style="medium">
        <color theme="5" tint="-0.2499465926084170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s>
  <cellStyleXfs count="41">
    <xf numFmtId="0" fontId="0" fillId="0" borderId="0"/>
    <xf numFmtId="0" fontId="1" fillId="0" borderId="0" applyNumberFormat="0" applyFill="0" applyBorder="0" applyAlignment="0" applyProtection="0"/>
    <xf numFmtId="0" fontId="3" fillId="0" borderId="0"/>
    <xf numFmtId="0" fontId="4" fillId="0" borderId="0"/>
    <xf numFmtId="0" fontId="18" fillId="0" borderId="0"/>
    <xf numFmtId="0" fontId="21" fillId="0" borderId="0"/>
    <xf numFmtId="0" fontId="4" fillId="0" borderId="0"/>
    <xf numFmtId="0" fontId="4" fillId="0" borderId="0"/>
    <xf numFmtId="0" fontId="36" fillId="0" borderId="0"/>
    <xf numFmtId="0" fontId="4" fillId="0" borderId="0"/>
    <xf numFmtId="0" fontId="4" fillId="0" borderId="0"/>
    <xf numFmtId="0" fontId="21" fillId="0" borderId="0"/>
    <xf numFmtId="0" fontId="44" fillId="0" borderId="0"/>
    <xf numFmtId="0" fontId="36" fillId="0" borderId="0"/>
    <xf numFmtId="0" fontId="83" fillId="0" borderId="0"/>
    <xf numFmtId="0" fontId="4" fillId="0" borderId="0"/>
    <xf numFmtId="0" fontId="96" fillId="0" borderId="0" applyNumberFormat="0" applyFill="0" applyBorder="0" applyAlignment="0" applyProtection="0">
      <alignment vertical="top"/>
      <protection locked="0"/>
    </xf>
    <xf numFmtId="0" fontId="4" fillId="0" borderId="0"/>
    <xf numFmtId="0" fontId="99" fillId="0" borderId="0" applyNumberFormat="0" applyFill="0" applyBorder="0" applyAlignment="0" applyProtection="0"/>
    <xf numFmtId="0" fontId="96" fillId="0" borderId="0" applyNumberFormat="0" applyFill="0" applyBorder="0" applyAlignment="0" applyProtection="0"/>
    <xf numFmtId="0" fontId="110" fillId="0" borderId="0" applyNumberFormat="0" applyFill="0" applyBorder="0" applyAlignment="0" applyProtection="0"/>
    <xf numFmtId="0" fontId="4" fillId="0" borderId="0"/>
    <xf numFmtId="0" fontId="21" fillId="0" borderId="0"/>
    <xf numFmtId="0" fontId="18" fillId="0" borderId="0"/>
    <xf numFmtId="0" fontId="18" fillId="0" borderId="0"/>
    <xf numFmtId="0" fontId="21" fillId="0" borderId="0"/>
    <xf numFmtId="0" fontId="4" fillId="0" borderId="0"/>
    <xf numFmtId="0" fontId="83" fillId="0" borderId="0"/>
    <xf numFmtId="0" fontId="83" fillId="0" borderId="0"/>
    <xf numFmtId="0" fontId="168" fillId="0" borderId="0"/>
    <xf numFmtId="0" fontId="96" fillId="0" borderId="0" applyNumberFormat="0" applyFill="0" applyBorder="0" applyAlignment="0" applyProtection="0">
      <alignment vertical="top"/>
      <protection locked="0"/>
    </xf>
    <xf numFmtId="0" fontId="18" fillId="0" borderId="0"/>
    <xf numFmtId="0" fontId="4" fillId="0" borderId="0"/>
    <xf numFmtId="0" fontId="196" fillId="0" borderId="0"/>
    <xf numFmtId="0" fontId="196" fillId="0" borderId="0"/>
    <xf numFmtId="0" fontId="197" fillId="0" borderId="0"/>
    <xf numFmtId="0" fontId="196" fillId="0" borderId="0"/>
    <xf numFmtId="0" fontId="197" fillId="0" borderId="0"/>
    <xf numFmtId="0" fontId="198" fillId="55" borderId="155" applyNumberFormat="0" applyAlignment="0" applyProtection="0"/>
    <xf numFmtId="0" fontId="199"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cellStyleXfs>
  <cellXfs count="1759">
    <xf numFmtId="0" fontId="0" fillId="0" borderId="0" xfId="0"/>
    <xf numFmtId="0" fontId="0" fillId="2" borderId="1" xfId="0" applyFont="1" applyFill="1" applyBorder="1"/>
    <xf numFmtId="0" fontId="0" fillId="0" borderId="1" xfId="0" applyFont="1" applyBorder="1"/>
    <xf numFmtId="0" fontId="0" fillId="0" borderId="8" xfId="0" applyBorder="1" applyAlignment="1">
      <alignment horizontal="center" vertical="center"/>
    </xf>
    <xf numFmtId="0" fontId="0" fillId="0" borderId="9" xfId="0" applyBorder="1" applyAlignment="1">
      <alignment horizontal="center" vertical="center"/>
    </xf>
    <xf numFmtId="164" fontId="0" fillId="4" borderId="7" xfId="0" applyNumberFormat="1" applyFill="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164" fontId="0" fillId="4" borderId="8" xfId="0" applyNumberFormat="1" applyFill="1" applyBorder="1" applyAlignment="1">
      <alignment horizontal="center" vertical="center"/>
    </xf>
    <xf numFmtId="164" fontId="0" fillId="4" borderId="12" xfId="0" applyNumberFormat="1" applyFill="1" applyBorder="1" applyAlignment="1">
      <alignment horizontal="center" vertical="center"/>
    </xf>
    <xf numFmtId="0" fontId="0" fillId="2" borderId="3" xfId="0" applyFont="1" applyFill="1" applyBorder="1" applyAlignment="1">
      <alignment horizontal="center" vertical="center"/>
    </xf>
    <xf numFmtId="0" fontId="8" fillId="0" borderId="0" xfId="0" applyFont="1"/>
    <xf numFmtId="0" fontId="0" fillId="0" borderId="0" xfId="0" applyAlignment="1">
      <alignment vertical="center"/>
    </xf>
    <xf numFmtId="0" fontId="0" fillId="4" borderId="0" xfId="0" applyFill="1"/>
    <xf numFmtId="165" fontId="16" fillId="9" borderId="16" xfId="0" applyNumberFormat="1" applyFont="1" applyFill="1" applyBorder="1" applyAlignment="1">
      <alignment horizontal="center" vertical="center" textRotation="90"/>
    </xf>
    <xf numFmtId="0" fontId="2" fillId="4" borderId="0" xfId="0" applyFont="1" applyFill="1" applyAlignment="1">
      <alignment horizontal="right" vertical="center"/>
    </xf>
    <xf numFmtId="0" fontId="8" fillId="4" borderId="0" xfId="0" applyFont="1" applyFill="1" applyAlignment="1">
      <alignment horizontal="right"/>
    </xf>
    <xf numFmtId="0" fontId="1" fillId="4" borderId="0" xfId="1" applyFill="1" applyAlignment="1">
      <alignment vertical="center"/>
    </xf>
    <xf numFmtId="0" fontId="0" fillId="4" borderId="0" xfId="0" applyFill="1" applyAlignment="1">
      <alignment vertical="center"/>
    </xf>
    <xf numFmtId="0" fontId="0" fillId="4" borderId="0" xfId="0" applyFill="1" applyAlignment="1">
      <alignment horizontal="right" vertical="center"/>
    </xf>
    <xf numFmtId="14" fontId="8" fillId="4" borderId="16" xfId="0" applyNumberFormat="1" applyFont="1" applyFill="1" applyBorder="1" applyAlignment="1">
      <alignment vertical="center"/>
    </xf>
    <xf numFmtId="14" fontId="8" fillId="4" borderId="0" xfId="0" applyNumberFormat="1" applyFont="1" applyFill="1" applyAlignment="1">
      <alignment vertical="center"/>
    </xf>
    <xf numFmtId="0" fontId="0" fillId="0" borderId="0" xfId="0" applyBorder="1" applyAlignment="1">
      <alignment horizontal="center" vertical="center"/>
    </xf>
    <xf numFmtId="0" fontId="0" fillId="0" borderId="0" xfId="0" applyBorder="1"/>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66" fontId="0" fillId="0" borderId="0" xfId="0" applyNumberFormat="1"/>
    <xf numFmtId="168" fontId="0" fillId="0" borderId="0" xfId="0" applyNumberFormat="1" applyAlignment="1">
      <alignment horizontal="center" vertical="center"/>
    </xf>
    <xf numFmtId="168" fontId="0" fillId="0" borderId="2" xfId="0" applyNumberFormat="1" applyFont="1" applyBorder="1" applyAlignment="1">
      <alignment horizontal="center" vertical="center"/>
    </xf>
    <xf numFmtId="168" fontId="0" fillId="2" borderId="2" xfId="0" applyNumberFormat="1" applyFont="1" applyFill="1" applyBorder="1" applyAlignment="1">
      <alignment horizontal="center" vertical="center"/>
    </xf>
    <xf numFmtId="0" fontId="17" fillId="4" borderId="0" xfId="0" applyFont="1" applyFill="1" applyAlignment="1">
      <alignment vertical="center"/>
    </xf>
    <xf numFmtId="0" fontId="25" fillId="4" borderId="0" xfId="0" applyFont="1" applyFill="1"/>
    <xf numFmtId="0" fontId="26" fillId="4" borderId="0" xfId="0" applyFont="1" applyFill="1"/>
    <xf numFmtId="0" fontId="7" fillId="16" borderId="26" xfId="0" applyFont="1" applyFill="1" applyBorder="1" applyAlignment="1">
      <alignment horizontal="center" vertical="center"/>
    </xf>
    <xf numFmtId="0" fontId="0" fillId="0" borderId="27" xfId="0" applyBorder="1" applyAlignment="1">
      <alignment horizontal="center" vertical="center"/>
    </xf>
    <xf numFmtId="164" fontId="0" fillId="4" borderId="27" xfId="0" applyNumberFormat="1" applyFill="1" applyBorder="1" applyAlignment="1">
      <alignment horizontal="center" vertical="center"/>
    </xf>
    <xf numFmtId="0" fontId="7" fillId="16" borderId="31" xfId="0" applyFont="1" applyFill="1" applyBorder="1" applyAlignment="1">
      <alignment horizontal="center" vertical="center"/>
    </xf>
    <xf numFmtId="0" fontId="7" fillId="17" borderId="30" xfId="0" applyFont="1" applyFill="1" applyBorder="1" applyAlignment="1">
      <alignment horizontal="center" vertical="center"/>
    </xf>
    <xf numFmtId="0" fontId="7" fillId="17" borderId="32" xfId="0" applyFont="1" applyFill="1" applyBorder="1" applyAlignment="1">
      <alignment horizontal="center" vertical="center"/>
    </xf>
    <xf numFmtId="0" fontId="7" fillId="16" borderId="21" xfId="0" applyFont="1" applyFill="1" applyBorder="1" applyAlignment="1">
      <alignment horizontal="center" vertical="center"/>
    </xf>
    <xf numFmtId="0" fontId="28" fillId="4" borderId="0" xfId="0" applyFont="1" applyFill="1"/>
    <xf numFmtId="0" fontId="8" fillId="4" borderId="0" xfId="0" applyFont="1" applyFill="1"/>
    <xf numFmtId="170" fontId="31" fillId="4" borderId="0" xfId="4" applyNumberFormat="1" applyFont="1" applyFill="1" applyAlignment="1">
      <alignment horizontal="centerContinuous" vertical="center"/>
    </xf>
    <xf numFmtId="0" fontId="14" fillId="4" borderId="0" xfId="4" applyFont="1" applyFill="1" applyAlignment="1">
      <alignment horizontal="centerContinuous" vertical="center"/>
    </xf>
    <xf numFmtId="0" fontId="31" fillId="4" borderId="0" xfId="4" applyFont="1" applyFill="1" applyAlignment="1">
      <alignment horizontal="centerContinuous"/>
    </xf>
    <xf numFmtId="170" fontId="14" fillId="4" borderId="0" xfId="4" applyNumberFormat="1" applyFont="1" applyFill="1" applyAlignment="1">
      <alignment horizontal="centerContinuous" vertical="center"/>
    </xf>
    <xf numFmtId="170" fontId="14" fillId="5" borderId="0" xfId="4" applyNumberFormat="1" applyFont="1" applyFill="1" applyAlignment="1">
      <alignment horizontal="center" vertical="center"/>
    </xf>
    <xf numFmtId="1" fontId="31" fillId="13" borderId="0" xfId="4" applyNumberFormat="1" applyFont="1" applyFill="1" applyAlignment="1" applyProtection="1">
      <alignment horizontal="center" vertical="center" wrapText="1"/>
      <protection locked="0"/>
    </xf>
    <xf numFmtId="170" fontId="14" fillId="4" borderId="0" xfId="4" applyNumberFormat="1" applyFont="1" applyFill="1" applyAlignment="1" applyProtection="1">
      <alignment horizontal="center" vertical="center"/>
      <protection locked="0"/>
    </xf>
    <xf numFmtId="170" fontId="31" fillId="4" borderId="0" xfId="4" applyNumberFormat="1" applyFont="1" applyFill="1" applyAlignment="1">
      <alignment horizontal="left" vertical="center"/>
    </xf>
    <xf numFmtId="170" fontId="31" fillId="4" borderId="0" xfId="4" applyNumberFormat="1" applyFont="1" applyFill="1" applyAlignment="1">
      <alignment horizontal="center" vertical="center"/>
    </xf>
    <xf numFmtId="170" fontId="14" fillId="4" borderId="0" xfId="4" applyNumberFormat="1" applyFont="1" applyFill="1" applyAlignment="1">
      <alignment horizontal="center" vertical="center"/>
    </xf>
    <xf numFmtId="0" fontId="31" fillId="4" borderId="0" xfId="4" applyFont="1" applyFill="1" applyAlignment="1">
      <alignment horizontal="center"/>
    </xf>
    <xf numFmtId="170" fontId="31" fillId="0" borderId="0" xfId="4" applyNumberFormat="1" applyFont="1" applyAlignment="1">
      <alignment horizontal="center" vertical="center"/>
    </xf>
    <xf numFmtId="0" fontId="31" fillId="0" borderId="0" xfId="4" applyFont="1" applyAlignment="1">
      <alignment horizontal="center"/>
    </xf>
    <xf numFmtId="0" fontId="31" fillId="4" borderId="0" xfId="4" applyFont="1" applyFill="1" applyAlignment="1">
      <alignment horizontal="left" vertical="center"/>
    </xf>
    <xf numFmtId="1" fontId="31" fillId="4" borderId="0" xfId="4" applyNumberFormat="1" applyFont="1" applyFill="1" applyAlignment="1" applyProtection="1">
      <alignment horizontal="center" vertical="center" wrapText="1"/>
      <protection locked="0"/>
    </xf>
    <xf numFmtId="170" fontId="14" fillId="4" borderId="0" xfId="4" applyNumberFormat="1" applyFont="1" applyFill="1" applyAlignment="1">
      <alignment horizontal="left" vertical="center"/>
    </xf>
    <xf numFmtId="170" fontId="14" fillId="4" borderId="0" xfId="4" applyNumberFormat="1" applyFont="1" applyFill="1" applyAlignment="1">
      <alignment vertical="center" wrapText="1"/>
    </xf>
    <xf numFmtId="0" fontId="14" fillId="4" borderId="0" xfId="4" applyFont="1" applyFill="1" applyAlignment="1">
      <alignment wrapText="1"/>
    </xf>
    <xf numFmtId="0" fontId="31" fillId="0" borderId="0" xfId="4" applyFont="1" applyAlignment="1">
      <alignment horizontal="center" vertical="center" wrapText="1"/>
    </xf>
    <xf numFmtId="0" fontId="31" fillId="11" borderId="14" xfId="4" applyFont="1" applyFill="1" applyBorder="1" applyAlignment="1">
      <alignment horizontal="centerContinuous"/>
    </xf>
    <xf numFmtId="22" fontId="14" fillId="11" borderId="25" xfId="4" applyNumberFormat="1" applyFont="1" applyFill="1" applyBorder="1" applyAlignment="1">
      <alignment horizontal="centerContinuous" vertical="center"/>
    </xf>
    <xf numFmtId="169" fontId="31" fillId="4" borderId="0" xfId="5" applyNumberFormat="1" applyFont="1" applyFill="1" applyAlignment="1">
      <alignment vertical="center"/>
    </xf>
    <xf numFmtId="0" fontId="31" fillId="4" borderId="0" xfId="4" applyFont="1" applyFill="1" applyAlignment="1">
      <alignment wrapText="1"/>
    </xf>
    <xf numFmtId="0" fontId="14" fillId="0" borderId="0" xfId="4" applyFont="1" applyAlignment="1">
      <alignment horizontal="left" vertical="center"/>
    </xf>
    <xf numFmtId="170" fontId="31" fillId="0" borderId="0" xfId="4" applyNumberFormat="1" applyFont="1" applyAlignment="1">
      <alignment horizontal="right" vertical="center"/>
    </xf>
    <xf numFmtId="170" fontId="31" fillId="4" borderId="0" xfId="4" applyNumberFormat="1" applyFont="1" applyFill="1" applyAlignment="1">
      <alignment horizontal="right" vertical="center"/>
    </xf>
    <xf numFmtId="0" fontId="14" fillId="4" borderId="0" xfId="4" applyFont="1" applyFill="1" applyAlignment="1">
      <alignment horizontal="left" vertical="center"/>
    </xf>
    <xf numFmtId="170" fontId="14" fillId="4" borderId="0" xfId="4" applyNumberFormat="1" applyFont="1" applyFill="1" applyAlignment="1">
      <alignment horizontal="right" vertical="center"/>
    </xf>
    <xf numFmtId="0" fontId="14" fillId="11" borderId="14" xfId="4" applyFont="1" applyFill="1" applyBorder="1" applyAlignment="1">
      <alignment horizontal="right" vertical="center"/>
    </xf>
    <xf numFmtId="14" fontId="8" fillId="4" borderId="0" xfId="0" applyNumberFormat="1" applyFont="1" applyFill="1" applyBorder="1" applyAlignment="1">
      <alignment horizontal="left" vertical="center"/>
    </xf>
    <xf numFmtId="0" fontId="31" fillId="4" borderId="0" xfId="0" applyFont="1" applyFill="1" applyBorder="1"/>
    <xf numFmtId="0" fontId="7" fillId="8" borderId="0" xfId="0" applyFont="1" applyFill="1" applyBorder="1" applyAlignment="1">
      <alignment horizontal="left" vertical="center"/>
    </xf>
    <xf numFmtId="0" fontId="8" fillId="6" borderId="0" xfId="0" applyFont="1" applyFill="1" applyBorder="1" applyAlignment="1">
      <alignment horizontal="left" vertical="center"/>
    </xf>
    <xf numFmtId="0" fontId="7" fillId="7" borderId="0" xfId="0" applyFont="1" applyFill="1" applyBorder="1" applyAlignment="1">
      <alignment horizontal="left" vertical="center"/>
    </xf>
    <xf numFmtId="0" fontId="5" fillId="4" borderId="0" xfId="0" applyFont="1" applyFill="1" applyAlignment="1">
      <alignment horizontal="center" vertical="center"/>
    </xf>
    <xf numFmtId="0" fontId="0" fillId="4" borderId="0" xfId="0" applyFill="1" applyBorder="1"/>
    <xf numFmtId="0" fontId="0" fillId="4" borderId="0" xfId="0" applyFill="1" applyBorder="1" applyAlignment="1">
      <alignment horizontal="left"/>
    </xf>
    <xf numFmtId="0" fontId="0" fillId="4" borderId="0" xfId="0" applyFill="1" applyBorder="1" applyAlignment="1"/>
    <xf numFmtId="0" fontId="0" fillId="4" borderId="0" xfId="0" applyFill="1" applyBorder="1" applyAlignment="1">
      <alignment vertical="center"/>
    </xf>
    <xf numFmtId="0" fontId="5" fillId="4" borderId="0" xfId="0" applyFont="1" applyFill="1"/>
    <xf numFmtId="165" fontId="14" fillId="4" borderId="0" xfId="0" applyNumberFormat="1" applyFont="1" applyFill="1" applyBorder="1" applyAlignment="1">
      <alignment vertical="center"/>
    </xf>
    <xf numFmtId="0" fontId="8" fillId="4" borderId="0" xfId="0" applyFont="1" applyFill="1" applyBorder="1" applyAlignment="1">
      <alignment horizontal="left" vertical="center"/>
    </xf>
    <xf numFmtId="164" fontId="8" fillId="4" borderId="0" xfId="0" applyNumberFormat="1" applyFont="1" applyFill="1" applyBorder="1" applyAlignment="1">
      <alignment horizontal="left" vertical="center"/>
    </xf>
    <xf numFmtId="0" fontId="8" fillId="4" borderId="0" xfId="0" applyFont="1" applyFill="1" applyBorder="1" applyAlignment="1">
      <alignment vertical="center"/>
    </xf>
    <xf numFmtId="164" fontId="8" fillId="4" borderId="0" xfId="0" applyNumberFormat="1" applyFont="1" applyFill="1" applyBorder="1" applyAlignment="1">
      <alignment vertical="center"/>
    </xf>
    <xf numFmtId="165" fontId="14" fillId="4" borderId="0" xfId="0" applyNumberFormat="1" applyFont="1" applyFill="1" applyBorder="1" applyAlignment="1">
      <alignment horizontal="left"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7" fillId="19" borderId="26" xfId="0" applyFont="1" applyFill="1" applyBorder="1" applyAlignment="1">
      <alignment horizontal="center" vertical="center"/>
    </xf>
    <xf numFmtId="0" fontId="4" fillId="20" borderId="0" xfId="7" applyFill="1" applyProtection="1">
      <protection hidden="1"/>
    </xf>
    <xf numFmtId="0" fontId="36" fillId="20" borderId="0" xfId="8" applyFill="1"/>
    <xf numFmtId="0" fontId="4" fillId="20" borderId="0" xfId="7" applyFill="1" applyAlignment="1">
      <alignment vertical="center"/>
    </xf>
    <xf numFmtId="0" fontId="4" fillId="0" borderId="0" xfId="7"/>
    <xf numFmtId="0" fontId="37" fillId="20" borderId="0" xfId="7" applyFont="1" applyFill="1" applyAlignment="1">
      <alignment vertical="center"/>
    </xf>
    <xf numFmtId="0" fontId="38" fillId="20" borderId="0" xfId="9" applyFont="1" applyFill="1" applyAlignment="1" applyProtection="1">
      <alignment vertical="center"/>
      <protection hidden="1"/>
    </xf>
    <xf numFmtId="0" fontId="39" fillId="20" borderId="0" xfId="7" applyFont="1" applyFill="1" applyAlignment="1">
      <alignment vertical="center"/>
    </xf>
    <xf numFmtId="0" fontId="40" fillId="20" borderId="0" xfId="7" applyFont="1" applyFill="1" applyAlignment="1">
      <alignment vertical="center"/>
    </xf>
    <xf numFmtId="0" fontId="39" fillId="20" borderId="0" xfId="9" applyFont="1" applyFill="1" applyAlignment="1">
      <alignment vertical="center"/>
    </xf>
    <xf numFmtId="0" fontId="41" fillId="9" borderId="0" xfId="7" applyFont="1" applyFill="1" applyAlignment="1">
      <alignment vertical="center"/>
    </xf>
    <xf numFmtId="0" fontId="45" fillId="20" borderId="0" xfId="12" applyFont="1" applyFill="1" applyAlignment="1">
      <alignment vertical="center"/>
    </xf>
    <xf numFmtId="0" fontId="4" fillId="0" borderId="0" xfId="7" applyAlignment="1">
      <alignment vertical="center"/>
    </xf>
    <xf numFmtId="0" fontId="46" fillId="20" borderId="0" xfId="7" applyFont="1" applyFill="1" applyAlignment="1">
      <alignment vertical="center"/>
    </xf>
    <xf numFmtId="0" fontId="47" fillId="20" borderId="0" xfId="7" applyFont="1" applyFill="1" applyAlignment="1">
      <alignment vertical="center"/>
    </xf>
    <xf numFmtId="0" fontId="48" fillId="20" borderId="0" xfId="7" applyFont="1" applyFill="1" applyAlignment="1">
      <alignment vertical="center"/>
    </xf>
    <xf numFmtId="0" fontId="49" fillId="20" borderId="0" xfId="13" applyFont="1" applyFill="1" applyAlignment="1">
      <alignment horizontal="left" vertical="center"/>
    </xf>
    <xf numFmtId="0" fontId="48" fillId="20" borderId="0" xfId="7" applyFont="1" applyFill="1" applyAlignment="1">
      <alignment horizontal="center" vertical="center"/>
    </xf>
    <xf numFmtId="0" fontId="50" fillId="20" borderId="0" xfId="7" applyFont="1" applyFill="1" applyAlignment="1">
      <alignment vertical="center"/>
    </xf>
    <xf numFmtId="172" fontId="51" fillId="20" borderId="36" xfId="10" applyNumberFormat="1" applyFont="1" applyFill="1" applyBorder="1" applyAlignment="1">
      <alignment horizontal="center" vertical="center"/>
    </xf>
    <xf numFmtId="173" fontId="52" fillId="22" borderId="37" xfId="7" applyNumberFormat="1" applyFont="1" applyFill="1" applyBorder="1" applyAlignment="1" applyProtection="1">
      <alignment horizontal="center" vertical="center"/>
      <protection locked="0"/>
    </xf>
    <xf numFmtId="174" fontId="53" fillId="23" borderId="38" xfId="7" applyNumberFormat="1" applyFont="1" applyFill="1" applyBorder="1" applyAlignment="1">
      <alignment horizontal="center" vertical="center"/>
    </xf>
    <xf numFmtId="0" fontId="54" fillId="20" borderId="0" xfId="7" applyFont="1" applyFill="1" applyAlignment="1">
      <alignment horizontal="right" vertical="center"/>
    </xf>
    <xf numFmtId="0" fontId="47" fillId="20" borderId="0" xfId="7" applyFont="1" applyFill="1" applyAlignment="1">
      <alignment horizontal="center" vertical="center"/>
    </xf>
    <xf numFmtId="0" fontId="55" fillId="20" borderId="0" xfId="7" applyFont="1" applyFill="1" applyAlignment="1">
      <alignment horizontal="left" vertical="center"/>
    </xf>
    <xf numFmtId="0" fontId="56" fillId="20" borderId="0" xfId="7" applyFont="1" applyFill="1" applyAlignment="1">
      <alignment horizontal="left" vertical="center"/>
    </xf>
    <xf numFmtId="0" fontId="57" fillId="20" borderId="0" xfId="7" applyFont="1" applyFill="1" applyAlignment="1">
      <alignment horizontal="left" vertical="center"/>
    </xf>
    <xf numFmtId="0" fontId="58" fillId="20" borderId="0" xfId="7" applyFont="1" applyFill="1" applyAlignment="1">
      <alignment horizontal="left" vertical="center"/>
    </xf>
    <xf numFmtId="0" fontId="59" fillId="20" borderId="0" xfId="7" applyFont="1" applyFill="1" applyAlignment="1">
      <alignment horizontal="left" vertical="center"/>
    </xf>
    <xf numFmtId="0" fontId="60" fillId="20" borderId="0" xfId="7" applyFont="1" applyFill="1" applyAlignment="1">
      <alignment horizontal="left" vertical="center"/>
    </xf>
    <xf numFmtId="0" fontId="61" fillId="20" borderId="0" xfId="7" applyFont="1" applyFill="1" applyAlignment="1">
      <alignment horizontal="left" vertical="center"/>
    </xf>
    <xf numFmtId="0" fontId="62" fillId="20" borderId="0" xfId="7" applyFont="1" applyFill="1" applyAlignment="1">
      <alignment horizontal="left" vertical="center"/>
    </xf>
    <xf numFmtId="0" fontId="63" fillId="20" borderId="0" xfId="7" applyFont="1" applyFill="1" applyAlignment="1">
      <alignment horizontal="left" vertical="center"/>
    </xf>
    <xf numFmtId="0" fontId="4" fillId="20" borderId="0" xfId="9" applyFill="1" applyProtection="1">
      <protection hidden="1"/>
    </xf>
    <xf numFmtId="0" fontId="4" fillId="20" borderId="0" xfId="9" applyFill="1" applyAlignment="1">
      <alignment vertical="center"/>
    </xf>
    <xf numFmtId="0" fontId="4" fillId="0" borderId="0" xfId="9" applyAlignment="1">
      <alignment vertical="center"/>
    </xf>
    <xf numFmtId="0" fontId="46" fillId="20" borderId="0" xfId="9" applyFont="1" applyFill="1" applyAlignment="1">
      <alignment vertical="center"/>
    </xf>
    <xf numFmtId="0" fontId="64" fillId="24" borderId="0" xfId="9" applyFont="1" applyFill="1" applyAlignment="1">
      <alignment horizontal="center" vertical="center"/>
    </xf>
    <xf numFmtId="0" fontId="65" fillId="24" borderId="0" xfId="9" applyFont="1" applyFill="1" applyAlignment="1">
      <alignment horizontal="center" vertical="center"/>
    </xf>
    <xf numFmtId="0" fontId="66" fillId="24" borderId="0" xfId="9" applyFont="1" applyFill="1" applyAlignment="1">
      <alignment horizontal="center" vertical="center"/>
    </xf>
    <xf numFmtId="0" fontId="67" fillId="24" borderId="0" xfId="9" applyFont="1" applyFill="1" applyAlignment="1">
      <alignment horizontal="center" vertical="center"/>
    </xf>
    <xf numFmtId="0" fontId="68" fillId="24" borderId="0" xfId="9" applyFont="1" applyFill="1" applyAlignment="1">
      <alignment horizontal="center" vertical="center"/>
    </xf>
    <xf numFmtId="0" fontId="69" fillId="24" borderId="0" xfId="9" applyFont="1" applyFill="1" applyAlignment="1">
      <alignment horizontal="center" vertical="center"/>
    </xf>
    <xf numFmtId="0" fontId="70" fillId="24" borderId="0" xfId="9" applyFont="1" applyFill="1" applyAlignment="1">
      <alignment horizontal="center" vertical="center"/>
    </xf>
    <xf numFmtId="0" fontId="71" fillId="24" borderId="0" xfId="9" applyFont="1" applyFill="1" applyAlignment="1">
      <alignment horizontal="center" vertical="center"/>
    </xf>
    <xf numFmtId="0" fontId="72" fillId="24" borderId="0" xfId="9" applyFont="1" applyFill="1" applyAlignment="1">
      <alignment horizontal="center" vertical="center"/>
    </xf>
    <xf numFmtId="0" fontId="73" fillId="24" borderId="0" xfId="9" applyFont="1" applyFill="1" applyAlignment="1">
      <alignment horizontal="center" vertical="center"/>
    </xf>
    <xf numFmtId="0" fontId="74" fillId="24" borderId="0" xfId="9" applyFont="1" applyFill="1" applyAlignment="1">
      <alignment horizontal="center" vertical="center"/>
    </xf>
    <xf numFmtId="0" fontId="75" fillId="24" borderId="0" xfId="9" applyFont="1" applyFill="1" applyAlignment="1">
      <alignment horizontal="center" vertical="center"/>
    </xf>
    <xf numFmtId="0" fontId="76" fillId="24" borderId="0" xfId="9" applyFont="1" applyFill="1" applyAlignment="1">
      <alignment horizontal="center" vertical="center"/>
    </xf>
    <xf numFmtId="0" fontId="77" fillId="24" borderId="0" xfId="9" applyFont="1" applyFill="1" applyAlignment="1">
      <alignment horizontal="center" vertical="center"/>
    </xf>
    <xf numFmtId="0" fontId="78" fillId="24" borderId="0" xfId="9" applyFont="1" applyFill="1" applyAlignment="1">
      <alignment horizontal="center" vertical="center"/>
    </xf>
    <xf numFmtId="0" fontId="79" fillId="24" borderId="0" xfId="9" applyFont="1" applyFill="1" applyAlignment="1">
      <alignment horizontal="center" vertical="center"/>
    </xf>
    <xf numFmtId="0" fontId="80" fillId="24" borderId="0" xfId="9" applyFont="1" applyFill="1" applyAlignment="1">
      <alignment horizontal="center" vertical="center"/>
    </xf>
    <xf numFmtId="0" fontId="81" fillId="24" borderId="0" xfId="9" applyFont="1" applyFill="1" applyAlignment="1">
      <alignment horizontal="center" vertical="center"/>
    </xf>
    <xf numFmtId="0" fontId="82" fillId="4" borderId="23" xfId="9" applyFont="1" applyFill="1" applyBorder="1" applyAlignment="1">
      <alignment horizontal="center" vertical="center"/>
    </xf>
    <xf numFmtId="0" fontId="84" fillId="0" borderId="39" xfId="14" applyFont="1" applyBorder="1" applyAlignment="1">
      <alignment horizontal="center" vertical="center"/>
    </xf>
    <xf numFmtId="0" fontId="85" fillId="25" borderId="23" xfId="9" applyFont="1" applyFill="1" applyBorder="1" applyAlignment="1">
      <alignment horizontal="center" vertical="center"/>
    </xf>
    <xf numFmtId="0" fontId="85" fillId="26" borderId="23" xfId="9" applyFont="1" applyFill="1" applyBorder="1" applyAlignment="1">
      <alignment horizontal="center" vertical="center"/>
    </xf>
    <xf numFmtId="0" fontId="86" fillId="20" borderId="0" xfId="7" applyFont="1" applyFill="1" applyAlignment="1" applyProtection="1">
      <alignment horizontal="left" vertical="center"/>
      <protection hidden="1"/>
    </xf>
    <xf numFmtId="0" fontId="22" fillId="20" borderId="0" xfId="9" applyFont="1" applyFill="1" applyProtection="1">
      <protection hidden="1"/>
    </xf>
    <xf numFmtId="0" fontId="48" fillId="20" borderId="0" xfId="8" applyFont="1" applyFill="1" applyAlignment="1">
      <alignment vertical="center"/>
    </xf>
    <xf numFmtId="0" fontId="9" fillId="20" borderId="0" xfId="8" applyFont="1" applyFill="1" applyAlignment="1">
      <alignment vertical="center"/>
    </xf>
    <xf numFmtId="0" fontId="86" fillId="20" borderId="0" xfId="9" applyFont="1" applyFill="1" applyAlignment="1" applyProtection="1">
      <alignment vertical="center"/>
      <protection hidden="1"/>
    </xf>
    <xf numFmtId="0" fontId="6" fillId="20" borderId="0" xfId="8" applyFont="1" applyFill="1"/>
    <xf numFmtId="0" fontId="86" fillId="20" borderId="0" xfId="7" applyFont="1" applyFill="1" applyAlignment="1">
      <alignment horizontal="left" vertical="center"/>
    </xf>
    <xf numFmtId="0" fontId="87" fillId="20" borderId="0" xfId="7" applyFont="1" applyFill="1" applyAlignment="1">
      <alignment horizontal="center" vertical="center"/>
    </xf>
    <xf numFmtId="0" fontId="42" fillId="20" borderId="0" xfId="7" applyFont="1" applyFill="1" applyAlignment="1">
      <alignment horizontal="left" vertical="top"/>
    </xf>
    <xf numFmtId="0" fontId="88" fillId="4" borderId="0" xfId="9" applyFont="1" applyFill="1" applyAlignment="1">
      <alignment vertical="center"/>
    </xf>
    <xf numFmtId="0" fontId="4" fillId="4" borderId="0" xfId="9" applyFill="1" applyProtection="1">
      <protection hidden="1"/>
    </xf>
    <xf numFmtId="0" fontId="89" fillId="4" borderId="23" xfId="9" applyFont="1" applyFill="1" applyBorder="1" applyAlignment="1">
      <alignment vertical="center"/>
    </xf>
    <xf numFmtId="0" fontId="4" fillId="4" borderId="0" xfId="9" applyFill="1" applyAlignment="1">
      <alignment vertical="center"/>
    </xf>
    <xf numFmtId="175" fontId="90" fillId="4" borderId="0" xfId="9" applyNumberFormat="1" applyFont="1" applyFill="1" applyAlignment="1">
      <alignment vertical="center"/>
    </xf>
    <xf numFmtId="0" fontId="89" fillId="4" borderId="0" xfId="9" applyFont="1" applyFill="1" applyAlignment="1">
      <alignment horizontal="left" vertical="center"/>
    </xf>
    <xf numFmtId="0" fontId="4" fillId="0" borderId="0" xfId="9" applyProtection="1">
      <protection hidden="1"/>
    </xf>
    <xf numFmtId="0" fontId="91" fillId="27" borderId="0" xfId="9" applyFont="1" applyFill="1" applyAlignment="1">
      <alignment horizontal="center" vertical="center"/>
    </xf>
    <xf numFmtId="0" fontId="92" fillId="6" borderId="29" xfId="9" applyFont="1" applyFill="1" applyBorder="1" applyAlignment="1">
      <alignment horizontal="center" vertical="center"/>
    </xf>
    <xf numFmtId="0" fontId="92" fillId="6" borderId="0" xfId="9" applyFont="1" applyFill="1" applyAlignment="1">
      <alignment horizontal="center" vertical="center"/>
    </xf>
    <xf numFmtId="0" fontId="47" fillId="20" borderId="0" xfId="9" applyFont="1" applyFill="1" applyAlignment="1">
      <alignment vertical="center"/>
    </xf>
    <xf numFmtId="0" fontId="47" fillId="20" borderId="23" xfId="9" applyFont="1" applyFill="1" applyBorder="1" applyAlignment="1">
      <alignment vertical="center"/>
    </xf>
    <xf numFmtId="0" fontId="11" fillId="4" borderId="0" xfId="9" applyFont="1" applyFill="1" applyAlignment="1">
      <alignment horizontal="center" vertical="center"/>
    </xf>
    <xf numFmtId="0" fontId="47" fillId="20" borderId="0" xfId="9" applyFont="1" applyFill="1" applyAlignment="1">
      <alignment horizontal="right" vertical="center"/>
    </xf>
    <xf numFmtId="0" fontId="4" fillId="4" borderId="0" xfId="9" applyFill="1"/>
    <xf numFmtId="0" fontId="93" fillId="4" borderId="0" xfId="9" applyFont="1" applyFill="1"/>
    <xf numFmtId="0" fontId="94" fillId="4" borderId="0" xfId="9" applyFont="1" applyFill="1"/>
    <xf numFmtId="0" fontId="95" fillId="4" borderId="0" xfId="15" applyFont="1" applyFill="1" applyAlignment="1">
      <alignment horizontal="right" vertical="center"/>
    </xf>
    <xf numFmtId="0" fontId="94" fillId="4" borderId="0" xfId="15" applyFont="1" applyFill="1" applyAlignment="1">
      <alignment horizontal="right" vertical="center"/>
    </xf>
    <xf numFmtId="0" fontId="94" fillId="4" borderId="0" xfId="9" applyFont="1" applyFill="1" applyAlignment="1">
      <alignment vertical="center"/>
    </xf>
    <xf numFmtId="0" fontId="4" fillId="0" borderId="0" xfId="9"/>
    <xf numFmtId="0" fontId="97" fillId="20" borderId="0" xfId="16" applyFont="1" applyFill="1" applyAlignment="1" applyProtection="1">
      <alignment vertical="center"/>
    </xf>
    <xf numFmtId="0" fontId="47" fillId="20" borderId="0" xfId="17" applyFont="1" applyFill="1" applyAlignment="1">
      <alignment vertical="center"/>
    </xf>
    <xf numFmtId="0" fontId="47" fillId="20" borderId="0" xfId="12" applyFont="1" applyFill="1" applyAlignment="1">
      <alignment horizontal="center" vertical="top"/>
    </xf>
    <xf numFmtId="0" fontId="98" fillId="15" borderId="0" xfId="9" applyFont="1" applyFill="1" applyAlignment="1" applyProtection="1">
      <alignment horizontal="center" vertical="center"/>
      <protection hidden="1"/>
    </xf>
    <xf numFmtId="0" fontId="100" fillId="4" borderId="0" xfId="18" applyFont="1" applyFill="1" applyAlignment="1" applyProtection="1">
      <alignment vertical="center"/>
      <protection hidden="1"/>
    </xf>
    <xf numFmtId="0" fontId="101" fillId="20" borderId="0" xfId="9" applyFont="1" applyFill="1" applyAlignment="1">
      <alignment vertical="center"/>
    </xf>
    <xf numFmtId="0" fontId="102" fillId="15" borderId="0" xfId="9" applyFont="1" applyFill="1" applyAlignment="1" applyProtection="1">
      <alignment vertical="center"/>
      <protection hidden="1"/>
    </xf>
    <xf numFmtId="0" fontId="103" fillId="3" borderId="0" xfId="18" applyFont="1" applyFill="1" applyAlignment="1">
      <alignment vertical="center"/>
    </xf>
    <xf numFmtId="0" fontId="39" fillId="10" borderId="0" xfId="9" applyFont="1" applyFill="1" applyAlignment="1">
      <alignment vertical="center"/>
    </xf>
    <xf numFmtId="0" fontId="104" fillId="10" borderId="0" xfId="18" applyFont="1" applyFill="1" applyAlignment="1">
      <alignment vertical="center"/>
    </xf>
    <xf numFmtId="0" fontId="105" fillId="10" borderId="0" xfId="9" applyFont="1" applyFill="1" applyAlignment="1">
      <alignment vertical="center"/>
    </xf>
    <xf numFmtId="0" fontId="106" fillId="10" borderId="0" xfId="9" applyFont="1" applyFill="1"/>
    <xf numFmtId="0" fontId="107" fillId="20" borderId="0" xfId="9" applyFont="1" applyFill="1" applyAlignment="1">
      <alignment vertical="center"/>
    </xf>
    <xf numFmtId="0" fontId="105" fillId="20" borderId="0" xfId="9" applyFont="1" applyFill="1" applyAlignment="1">
      <alignment vertical="center"/>
    </xf>
    <xf numFmtId="0" fontId="106" fillId="20" borderId="0" xfId="9" applyFont="1" applyFill="1"/>
    <xf numFmtId="0" fontId="4" fillId="10" borderId="0" xfId="9" applyFill="1"/>
    <xf numFmtId="0" fontId="107" fillId="20" borderId="0" xfId="9" applyFont="1" applyFill="1"/>
    <xf numFmtId="0" fontId="103" fillId="3" borderId="0" xfId="18" applyFont="1" applyFill="1" applyAlignment="1" applyProtection="1">
      <alignment vertical="center"/>
    </xf>
    <xf numFmtId="0" fontId="104" fillId="10" borderId="0" xfId="18" applyFont="1" applyFill="1" applyAlignment="1" applyProtection="1">
      <alignment vertical="center"/>
    </xf>
    <xf numFmtId="0" fontId="102" fillId="15" borderId="0" xfId="9" applyFont="1" applyFill="1" applyAlignment="1" applyProtection="1">
      <alignment horizontal="center" vertical="center"/>
      <protection hidden="1"/>
    </xf>
    <xf numFmtId="0" fontId="108" fillId="3" borderId="0" xfId="19" applyFont="1" applyFill="1" applyAlignment="1">
      <alignment vertical="center"/>
    </xf>
    <xf numFmtId="0" fontId="109" fillId="10" borderId="0" xfId="19" applyFont="1" applyFill="1" applyAlignment="1">
      <alignment vertical="center"/>
    </xf>
    <xf numFmtId="0" fontId="86" fillId="20" borderId="0" xfId="9" applyFont="1" applyFill="1" applyAlignment="1">
      <alignment vertical="center"/>
    </xf>
    <xf numFmtId="0" fontId="102" fillId="15" borderId="0" xfId="7" applyFont="1" applyFill="1" applyAlignment="1">
      <alignment horizontal="center" vertical="center"/>
    </xf>
    <xf numFmtId="0" fontId="111" fillId="3" borderId="0" xfId="20" applyFont="1" applyFill="1" applyBorder="1" applyAlignment="1">
      <alignment horizontal="left" vertical="center"/>
    </xf>
    <xf numFmtId="0" fontId="94" fillId="10" borderId="0" xfId="15" applyFont="1" applyFill="1" applyAlignment="1">
      <alignment horizontal="left" vertical="center"/>
    </xf>
    <xf numFmtId="0" fontId="4" fillId="20" borderId="0" xfId="9" applyFill="1"/>
    <xf numFmtId="0" fontId="93" fillId="20" borderId="0" xfId="9" applyFont="1" applyFill="1"/>
    <xf numFmtId="0" fontId="94" fillId="20" borderId="0" xfId="9" applyFont="1" applyFill="1"/>
    <xf numFmtId="0" fontId="30" fillId="20" borderId="0" xfId="9" applyFont="1" applyFill="1" applyAlignment="1">
      <alignment vertical="center"/>
    </xf>
    <xf numFmtId="0" fontId="112" fillId="20" borderId="0" xfId="9" applyFont="1" applyFill="1" applyAlignment="1">
      <alignment horizontal="right" vertical="center"/>
    </xf>
    <xf numFmtId="0" fontId="94" fillId="10" borderId="0" xfId="15" applyFont="1" applyFill="1" applyAlignment="1">
      <alignment horizontal="right" vertical="center"/>
    </xf>
    <xf numFmtId="0" fontId="95" fillId="10" borderId="0" xfId="9" applyFont="1" applyFill="1"/>
    <xf numFmtId="0" fontId="94" fillId="20" borderId="0" xfId="15" applyFont="1" applyFill="1" applyAlignment="1">
      <alignment horizontal="left" vertical="center"/>
    </xf>
    <xf numFmtId="0" fontId="95" fillId="10" borderId="0" xfId="7" applyFont="1" applyFill="1"/>
    <xf numFmtId="0" fontId="94" fillId="10" borderId="0" xfId="9" applyFont="1" applyFill="1"/>
    <xf numFmtId="0" fontId="102" fillId="10" borderId="0" xfId="8" applyFont="1" applyFill="1" applyAlignment="1">
      <alignment horizontal="center" vertical="center"/>
    </xf>
    <xf numFmtId="0" fontId="113" fillId="20" borderId="0" xfId="9" applyFont="1" applyFill="1" applyAlignment="1">
      <alignment vertical="center"/>
    </xf>
    <xf numFmtId="0" fontId="113" fillId="20" borderId="0" xfId="9" applyFont="1" applyFill="1" applyProtection="1">
      <protection hidden="1"/>
    </xf>
    <xf numFmtId="0" fontId="114" fillId="20" borderId="0" xfId="9" applyFont="1" applyFill="1" applyAlignment="1">
      <alignment vertical="center"/>
    </xf>
    <xf numFmtId="0" fontId="40" fillId="20" borderId="0" xfId="9" applyFont="1" applyFill="1" applyAlignment="1">
      <alignment vertical="center"/>
    </xf>
    <xf numFmtId="0" fontId="94" fillId="20" borderId="0" xfId="9" applyFont="1" applyFill="1" applyAlignment="1">
      <alignment vertical="center"/>
    </xf>
    <xf numFmtId="0" fontId="115" fillId="20" borderId="0" xfId="9" applyFont="1" applyFill="1" applyAlignment="1">
      <alignment horizontal="center" vertical="center"/>
    </xf>
    <xf numFmtId="0" fontId="47" fillId="20" borderId="0" xfId="12" applyFont="1" applyFill="1" applyAlignment="1">
      <alignment horizontal="center" vertical="center"/>
    </xf>
    <xf numFmtId="0" fontId="116" fillId="20" borderId="0" xfId="8" applyFont="1" applyFill="1"/>
    <xf numFmtId="0" fontId="50" fillId="20" borderId="0" xfId="9" applyFont="1" applyFill="1" applyAlignment="1">
      <alignment vertical="center"/>
    </xf>
    <xf numFmtId="0" fontId="36" fillId="0" borderId="0" xfId="13" applyAlignment="1">
      <alignment vertical="center"/>
    </xf>
    <xf numFmtId="0" fontId="23" fillId="0" borderId="0" xfId="0" applyFont="1" applyAlignment="1">
      <alignment vertical="center"/>
    </xf>
    <xf numFmtId="0" fontId="31" fillId="0" borderId="0" xfId="0" applyFont="1" applyAlignment="1">
      <alignment horizontal="left" vertical="center"/>
    </xf>
    <xf numFmtId="0" fontId="31" fillId="0" borderId="0" xfId="0" applyFont="1" applyAlignment="1">
      <alignment vertical="center"/>
    </xf>
    <xf numFmtId="0" fontId="0" fillId="0" borderId="0" xfId="0" applyFont="1" applyAlignment="1">
      <alignment vertical="center"/>
    </xf>
    <xf numFmtId="0" fontId="31" fillId="33" borderId="45" xfId="0" applyFont="1" applyFill="1" applyBorder="1" applyAlignment="1">
      <alignment horizontal="center" vertical="center"/>
    </xf>
    <xf numFmtId="0" fontId="35" fillId="28" borderId="45" xfId="0" applyFont="1" applyFill="1" applyBorder="1" applyAlignment="1">
      <alignment horizontal="center" vertical="center"/>
    </xf>
    <xf numFmtId="0" fontId="124" fillId="18" borderId="45" xfId="0" applyFont="1" applyFill="1" applyBorder="1" applyAlignment="1">
      <alignment horizontal="center" vertical="center"/>
    </xf>
    <xf numFmtId="0" fontId="31" fillId="34" borderId="45" xfId="0" applyFont="1" applyFill="1" applyBorder="1" applyAlignment="1">
      <alignment horizontal="center" vertical="center"/>
    </xf>
    <xf numFmtId="49" fontId="31" fillId="14" borderId="45" xfId="0" applyNumberFormat="1" applyFont="1" applyFill="1" applyBorder="1" applyAlignment="1">
      <alignment horizontal="center" vertical="center"/>
    </xf>
    <xf numFmtId="0" fontId="31" fillId="35" borderId="45" xfId="0" applyFont="1" applyFill="1" applyBorder="1" applyAlignment="1">
      <alignment horizontal="left" vertical="center"/>
    </xf>
    <xf numFmtId="1" fontId="125" fillId="36" borderId="45" xfId="0" applyNumberFormat="1" applyFont="1" applyFill="1" applyBorder="1" applyAlignment="1">
      <alignment horizontal="left" vertical="center"/>
    </xf>
    <xf numFmtId="0" fontId="35" fillId="5" borderId="45" xfId="0" applyFont="1" applyFill="1" applyBorder="1" applyAlignment="1">
      <alignment horizontal="center" vertical="center"/>
    </xf>
    <xf numFmtId="0" fontId="31" fillId="37" borderId="45" xfId="0" applyFont="1" applyFill="1" applyBorder="1" applyAlignment="1">
      <alignment horizontal="center" vertical="center"/>
    </xf>
    <xf numFmtId="0" fontId="124" fillId="38" borderId="45" xfId="0" applyFont="1" applyFill="1" applyBorder="1" applyAlignment="1">
      <alignment horizontal="center" vertical="center"/>
    </xf>
    <xf numFmtId="0" fontId="31" fillId="28" borderId="45"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7" fillId="16" borderId="8" xfId="0" applyFont="1" applyFill="1" applyBorder="1" applyAlignment="1">
      <alignment horizontal="center" vertical="center"/>
    </xf>
    <xf numFmtId="0" fontId="0" fillId="0" borderId="66" xfId="0" applyBorder="1" applyAlignment="1">
      <alignment horizontal="center" vertical="center"/>
    </xf>
    <xf numFmtId="0" fontId="26" fillId="4" borderId="0" xfId="0" applyFont="1" applyFill="1" applyAlignment="1">
      <alignment vertical="center"/>
    </xf>
    <xf numFmtId="0" fontId="0" fillId="0" borderId="67" xfId="0" applyBorder="1" applyAlignment="1">
      <alignment horizontal="center" vertical="center"/>
    </xf>
    <xf numFmtId="0" fontId="7" fillId="41" borderId="18" xfId="0" applyFont="1" applyFill="1" applyBorder="1" applyAlignment="1">
      <alignment horizontal="center" vertical="center"/>
    </xf>
    <xf numFmtId="0" fontId="7" fillId="41" borderId="8" xfId="0" applyFont="1" applyFill="1" applyBorder="1" applyAlignment="1">
      <alignment horizontal="center" vertical="center"/>
    </xf>
    <xf numFmtId="0" fontId="7" fillId="41" borderId="68" xfId="0" applyFont="1" applyFill="1" applyBorder="1" applyAlignment="1">
      <alignment horizontal="center" vertical="center"/>
    </xf>
    <xf numFmtId="0" fontId="14" fillId="42" borderId="63" xfId="0" applyFont="1" applyFill="1" applyBorder="1" applyAlignment="1">
      <alignment horizontal="center" vertical="center"/>
    </xf>
    <xf numFmtId="0" fontId="14" fillId="10" borderId="69" xfId="0" applyFont="1" applyFill="1" applyBorder="1" applyAlignment="1">
      <alignment horizontal="left" vertical="center"/>
    </xf>
    <xf numFmtId="0" fontId="0" fillId="9" borderId="0" xfId="0" applyFill="1"/>
    <xf numFmtId="0" fontId="0" fillId="9" borderId="16" xfId="0" applyFill="1" applyBorder="1"/>
    <xf numFmtId="0" fontId="0" fillId="9" borderId="63" xfId="0" applyFill="1" applyBorder="1"/>
    <xf numFmtId="0" fontId="0" fillId="9" borderId="13" xfId="0" applyFill="1" applyBorder="1"/>
    <xf numFmtId="0" fontId="7" fillId="9" borderId="0" xfId="0" applyFont="1" applyFill="1" applyAlignment="1">
      <alignment horizontal="center" vertical="center"/>
    </xf>
    <xf numFmtId="0" fontId="8" fillId="9" borderId="0" xfId="0" applyFont="1" applyFill="1" applyAlignment="1">
      <alignment horizontal="center" vertical="center"/>
    </xf>
    <xf numFmtId="0" fontId="131" fillId="4" borderId="0" xfId="0" applyFont="1" applyFill="1"/>
    <xf numFmtId="0" fontId="7" fillId="19" borderId="70" xfId="0" applyFont="1" applyFill="1" applyBorder="1" applyAlignment="1">
      <alignment horizontal="center" vertical="center"/>
    </xf>
    <xf numFmtId="14" fontId="8" fillId="4" borderId="69" xfId="0" applyNumberFormat="1" applyFont="1" applyFill="1" applyBorder="1" applyAlignment="1">
      <alignment vertical="center"/>
    </xf>
    <xf numFmtId="14" fontId="8" fillId="4" borderId="15" xfId="0" applyNumberFormat="1" applyFont="1" applyFill="1" applyBorder="1" applyAlignment="1">
      <alignment vertical="center"/>
    </xf>
    <xf numFmtId="0" fontId="7" fillId="9" borderId="15" xfId="0" applyFont="1" applyFill="1" applyBorder="1" applyAlignment="1">
      <alignment horizontal="center" vertical="center"/>
    </xf>
    <xf numFmtId="0" fontId="8" fillId="9" borderId="15" xfId="0" applyFont="1" applyFill="1" applyBorder="1" applyAlignment="1">
      <alignment horizontal="center" vertical="center"/>
    </xf>
    <xf numFmtId="182" fontId="132" fillId="0" borderId="0" xfId="7" applyNumberFormat="1" applyFont="1" applyAlignment="1">
      <alignment horizontal="center" vertical="center"/>
    </xf>
    <xf numFmtId="0" fontId="140" fillId="0" borderId="0" xfId="7" applyFont="1" applyAlignment="1">
      <alignment horizontal="left" vertical="center"/>
    </xf>
    <xf numFmtId="182" fontId="19" fillId="30" borderId="78" xfId="7" applyNumberFormat="1" applyFont="1" applyFill="1" applyBorder="1" applyAlignment="1">
      <alignment horizontal="centerContinuous" vertical="center"/>
    </xf>
    <xf numFmtId="182" fontId="19" fillId="30" borderId="80" xfId="7" applyNumberFormat="1" applyFont="1" applyFill="1" applyBorder="1" applyAlignment="1">
      <alignment horizontal="centerContinuous" vertical="center"/>
    </xf>
    <xf numFmtId="182" fontId="19" fillId="30" borderId="45" xfId="7" applyNumberFormat="1" applyFont="1" applyFill="1" applyBorder="1" applyAlignment="1">
      <alignment horizontal="center" vertical="center"/>
    </xf>
    <xf numFmtId="0" fontId="27" fillId="0" borderId="62" xfId="4" applyFont="1" applyBorder="1" applyAlignment="1">
      <alignment vertical="center"/>
    </xf>
    <xf numFmtId="0" fontId="150" fillId="0" borderId="72" xfId="28" applyFont="1" applyBorder="1" applyAlignment="1">
      <alignment vertical="center"/>
    </xf>
    <xf numFmtId="0" fontId="27" fillId="0" borderId="85" xfId="4" applyFont="1" applyBorder="1" applyAlignment="1">
      <alignment vertical="center"/>
    </xf>
    <xf numFmtId="0" fontId="27" fillId="0" borderId="72" xfId="4" applyFont="1" applyBorder="1" applyAlignment="1">
      <alignment vertical="center"/>
    </xf>
    <xf numFmtId="0" fontId="27" fillId="0" borderId="83" xfId="4" applyFont="1" applyBorder="1" applyAlignment="1">
      <alignment vertical="center"/>
    </xf>
    <xf numFmtId="0" fontId="150" fillId="0" borderId="0" xfId="28" applyFont="1" applyAlignment="1">
      <alignment vertical="center"/>
    </xf>
    <xf numFmtId="0" fontId="27" fillId="0" borderId="68" xfId="4" applyFont="1" applyBorder="1" applyAlignment="1">
      <alignment vertical="center"/>
    </xf>
    <xf numFmtId="0" fontId="27" fillId="0" borderId="0" xfId="4" applyFont="1" applyAlignment="1">
      <alignment vertical="center"/>
    </xf>
    <xf numFmtId="0" fontId="27" fillId="0" borderId="119" xfId="4" applyFont="1" applyBorder="1" applyAlignment="1">
      <alignment vertical="center"/>
    </xf>
    <xf numFmtId="0" fontId="150" fillId="0" borderId="120" xfId="28" applyFont="1" applyBorder="1" applyAlignment="1">
      <alignment vertical="center"/>
    </xf>
    <xf numFmtId="0" fontId="27" fillId="0" borderId="42" xfId="27" applyFont="1" applyBorder="1" applyAlignment="1">
      <alignment horizontal="center" vertical="center"/>
    </xf>
    <xf numFmtId="0" fontId="27" fillId="4" borderId="75" xfId="4" applyFont="1" applyFill="1" applyBorder="1" applyAlignment="1">
      <alignment vertical="center"/>
    </xf>
    <xf numFmtId="0" fontId="151" fillId="4" borderId="76" xfId="4" applyFont="1" applyFill="1" applyBorder="1" applyAlignment="1">
      <alignment horizontal="left" vertical="center"/>
    </xf>
    <xf numFmtId="0" fontId="154" fillId="4" borderId="76" xfId="4" applyFont="1" applyFill="1" applyBorder="1" applyAlignment="1">
      <alignment horizontal="center" vertical="center"/>
    </xf>
    <xf numFmtId="0" fontId="27" fillId="4" borderId="25" xfId="4" applyFont="1" applyFill="1" applyBorder="1" applyAlignment="1">
      <alignment vertical="center"/>
    </xf>
    <xf numFmtId="0" fontId="27" fillId="0" borderId="0" xfId="4" applyFont="1"/>
    <xf numFmtId="0" fontId="27" fillId="4" borderId="83" xfId="4" applyFont="1" applyFill="1" applyBorder="1" applyAlignment="1">
      <alignment vertical="center"/>
    </xf>
    <xf numFmtId="0" fontId="154" fillId="4" borderId="0" xfId="4" applyFont="1" applyFill="1" applyAlignment="1">
      <alignment horizontal="centerContinuous" vertical="center"/>
    </xf>
    <xf numFmtId="0" fontId="27" fillId="4" borderId="0" xfId="4" applyFont="1" applyFill="1" applyAlignment="1">
      <alignment horizontal="centerContinuous" vertical="center" wrapText="1"/>
    </xf>
    <xf numFmtId="0" fontId="27" fillId="4" borderId="0" xfId="4" applyFont="1" applyFill="1" applyAlignment="1">
      <alignment horizontal="left" vertical="center" wrapText="1"/>
    </xf>
    <xf numFmtId="0" fontId="27" fillId="4" borderId="0" xfId="4" applyFont="1" applyFill="1" applyAlignment="1">
      <alignment vertical="center"/>
    </xf>
    <xf numFmtId="0" fontId="154" fillId="4" borderId="0" xfId="4" applyFont="1" applyFill="1" applyAlignment="1">
      <alignment horizontal="center" vertical="center"/>
    </xf>
    <xf numFmtId="0" fontId="155" fillId="0" borderId="0" xfId="4" applyFont="1" applyAlignment="1">
      <alignment horizontal="centerContinuous" vertical="center" wrapText="1"/>
    </xf>
    <xf numFmtId="0" fontId="27" fillId="0" borderId="0" xfId="4" applyFont="1" applyAlignment="1">
      <alignment horizontal="centerContinuous" vertical="center" wrapText="1"/>
    </xf>
    <xf numFmtId="0" fontId="156" fillId="31" borderId="75" xfId="4" applyFont="1" applyFill="1" applyBorder="1" applyAlignment="1">
      <alignment horizontal="left" vertical="center"/>
    </xf>
    <xf numFmtId="0" fontId="124" fillId="31" borderId="76" xfId="4" applyFont="1" applyFill="1" applyBorder="1" applyAlignment="1">
      <alignment horizontal="centerContinuous" vertical="center"/>
    </xf>
    <xf numFmtId="0" fontId="124" fillId="31" borderId="77" xfId="4" applyFont="1" applyFill="1" applyBorder="1" applyAlignment="1">
      <alignment horizontal="centerContinuous" vertical="center"/>
    </xf>
    <xf numFmtId="0" fontId="157" fillId="45" borderId="45" xfId="4" applyFont="1" applyFill="1" applyBorder="1" applyAlignment="1" applyProtection="1">
      <alignment horizontal="left" vertical="center"/>
      <protection locked="0"/>
    </xf>
    <xf numFmtId="181" fontId="154" fillId="24" borderId="110" xfId="4" applyNumberFormat="1" applyFont="1" applyFill="1" applyBorder="1" applyAlignment="1">
      <alignment horizontal="centerContinuous" vertical="center"/>
    </xf>
    <xf numFmtId="181" fontId="154" fillId="24" borderId="111" xfId="4" applyNumberFormat="1" applyFont="1" applyFill="1" applyBorder="1" applyAlignment="1">
      <alignment horizontal="centerContinuous" vertical="center"/>
    </xf>
    <xf numFmtId="181" fontId="154" fillId="24" borderId="113" xfId="4" applyNumberFormat="1" applyFont="1" applyFill="1" applyBorder="1" applyAlignment="1">
      <alignment horizontal="centerContinuous" vertical="center"/>
    </xf>
    <xf numFmtId="0" fontId="31" fillId="44" borderId="45" xfId="23" applyFont="1" applyFill="1" applyBorder="1" applyAlignment="1">
      <alignment horizontal="center" vertical="center"/>
    </xf>
    <xf numFmtId="0" fontId="30" fillId="4" borderId="0" xfId="4" applyFont="1" applyFill="1" applyAlignment="1">
      <alignment horizontal="left" vertical="center"/>
    </xf>
    <xf numFmtId="1" fontId="158" fillId="46" borderId="45" xfId="4" applyNumberFormat="1" applyFont="1" applyFill="1" applyBorder="1" applyAlignment="1">
      <alignment horizontal="left" vertical="center"/>
    </xf>
    <xf numFmtId="0" fontId="27" fillId="4" borderId="90" xfId="4" applyFont="1" applyFill="1" applyBorder="1" applyAlignment="1">
      <alignment horizontal="centerContinuous" vertical="center"/>
    </xf>
    <xf numFmtId="1" fontId="159" fillId="36" borderId="45" xfId="26" applyNumberFormat="1" applyFont="1" applyFill="1" applyBorder="1" applyAlignment="1">
      <alignment horizontal="left" vertical="center"/>
    </xf>
    <xf numFmtId="0" fontId="30" fillId="4" borderId="90" xfId="4" applyFont="1" applyFill="1" applyBorder="1" applyAlignment="1">
      <alignment horizontal="centerContinuous" vertical="center"/>
    </xf>
    <xf numFmtId="0" fontId="160" fillId="4" borderId="0" xfId="4" applyFont="1" applyFill="1" applyAlignment="1" applyProtection="1">
      <alignment horizontal="left" vertical="center"/>
      <protection locked="0"/>
    </xf>
    <xf numFmtId="0" fontId="161" fillId="4" borderId="0" xfId="4" applyFont="1" applyFill="1" applyAlignment="1" applyProtection="1">
      <alignment horizontal="right" vertical="center"/>
      <protection locked="0"/>
    </xf>
    <xf numFmtId="0" fontId="27" fillId="4" borderId="90" xfId="4" applyFont="1" applyFill="1" applyBorder="1" applyAlignment="1">
      <alignment vertical="center"/>
    </xf>
    <xf numFmtId="0" fontId="30" fillId="4" borderId="45" xfId="4" applyFont="1" applyFill="1" applyBorder="1" applyAlignment="1">
      <alignment horizontal="center" vertical="center"/>
    </xf>
    <xf numFmtId="0" fontId="31" fillId="4" borderId="0" xfId="4" applyFont="1" applyFill="1" applyAlignment="1">
      <alignment vertical="center"/>
    </xf>
    <xf numFmtId="0" fontId="27" fillId="4" borderId="0" xfId="4" applyFont="1" applyFill="1"/>
    <xf numFmtId="0" fontId="124" fillId="38" borderId="45" xfId="4" applyFont="1" applyFill="1" applyBorder="1" applyAlignment="1">
      <alignment horizontal="center" vertical="center"/>
    </xf>
    <xf numFmtId="0" fontId="35" fillId="5" borderId="45" xfId="4" applyFont="1" applyFill="1" applyBorder="1" applyAlignment="1">
      <alignment horizontal="center" vertical="center"/>
    </xf>
    <xf numFmtId="0" fontId="30" fillId="0" borderId="45" xfId="4" applyFont="1" applyBorder="1" applyAlignment="1">
      <alignment horizontal="left" vertical="center"/>
    </xf>
    <xf numFmtId="0" fontId="31" fillId="4" borderId="45" xfId="4" applyFont="1" applyFill="1" applyBorder="1" applyAlignment="1">
      <alignment horizontal="center" vertical="center"/>
    </xf>
    <xf numFmtId="0" fontId="30" fillId="0" borderId="45" xfId="4" applyFont="1" applyBorder="1" applyAlignment="1">
      <alignment horizontal="center" vertical="center"/>
    </xf>
    <xf numFmtId="1" fontId="162" fillId="24" borderId="45" xfId="4" applyNumberFormat="1" applyFont="1" applyFill="1" applyBorder="1" applyAlignment="1" applyProtection="1">
      <alignment horizontal="center" vertical="center"/>
      <protection locked="0"/>
    </xf>
    <xf numFmtId="0" fontId="124" fillId="18" borderId="45" xfId="4" applyFont="1" applyFill="1" applyBorder="1" applyAlignment="1">
      <alignment horizontal="center" vertical="center"/>
    </xf>
    <xf numFmtId="0" fontId="27" fillId="4" borderId="0" xfId="4" applyFont="1" applyFill="1" applyAlignment="1">
      <alignment horizontal="center" vertical="center" wrapText="1"/>
    </xf>
    <xf numFmtId="0" fontId="14" fillId="4" borderId="0" xfId="4" applyFont="1" applyFill="1" applyAlignment="1">
      <alignment vertical="center"/>
    </xf>
    <xf numFmtId="0" fontId="124" fillId="29" borderId="45" xfId="4" applyFont="1" applyFill="1" applyBorder="1" applyAlignment="1">
      <alignment horizontal="center" vertical="center"/>
    </xf>
    <xf numFmtId="0" fontId="35" fillId="49" borderId="45" xfId="4" applyFont="1" applyFill="1" applyBorder="1" applyAlignment="1">
      <alignment horizontal="center" vertical="center"/>
    </xf>
    <xf numFmtId="49" fontId="151" fillId="14" borderId="45" xfId="4" applyNumberFormat="1" applyFont="1" applyFill="1" applyBorder="1" applyAlignment="1">
      <alignment horizontal="center" vertical="center"/>
    </xf>
    <xf numFmtId="0" fontId="163" fillId="21" borderId="126" xfId="4" applyFont="1" applyFill="1" applyBorder="1" applyAlignment="1">
      <alignment horizontal="center" vertical="center"/>
    </xf>
    <xf numFmtId="0" fontId="27" fillId="4" borderId="68" xfId="4" applyFont="1" applyFill="1" applyBorder="1" applyAlignment="1">
      <alignment vertical="center"/>
    </xf>
    <xf numFmtId="0" fontId="151" fillId="4" borderId="0" xfId="4" applyFont="1" applyFill="1" applyAlignment="1">
      <alignment vertical="center"/>
    </xf>
    <xf numFmtId="0" fontId="30" fillId="4" borderId="0" xfId="4" applyFont="1" applyFill="1" applyAlignment="1">
      <alignment horizontal="center" vertical="center"/>
    </xf>
    <xf numFmtId="0" fontId="31" fillId="4" borderId="0" xfId="4" applyFont="1" applyFill="1" applyAlignment="1">
      <alignment horizontal="right" vertical="center"/>
    </xf>
    <xf numFmtId="0" fontId="162" fillId="50" borderId="45" xfId="4" applyFont="1" applyFill="1" applyBorder="1" applyAlignment="1" applyProtection="1">
      <alignment horizontal="center" vertical="center"/>
      <protection locked="0"/>
    </xf>
    <xf numFmtId="170" fontId="151" fillId="24" borderId="78" xfId="24" applyNumberFormat="1" applyFont="1" applyFill="1" applyBorder="1" applyAlignment="1" applyProtection="1">
      <alignment horizontal="center" vertical="center" wrapText="1"/>
      <protection locked="0"/>
    </xf>
    <xf numFmtId="170" fontId="151" fillId="24" borderId="36" xfId="24" applyNumberFormat="1" applyFont="1" applyFill="1" applyBorder="1" applyAlignment="1" applyProtection="1">
      <alignment horizontal="center" vertical="center" wrapText="1"/>
      <protection locked="0"/>
    </xf>
    <xf numFmtId="1" fontId="30" fillId="12" borderId="36" xfId="24" applyNumberFormat="1" applyFont="1" applyFill="1" applyBorder="1" applyAlignment="1" applyProtection="1">
      <alignment horizontal="center" vertical="center" wrapText="1"/>
      <protection locked="0"/>
    </xf>
    <xf numFmtId="170" fontId="30" fillId="21" borderId="80" xfId="4" applyNumberFormat="1" applyFont="1" applyFill="1" applyBorder="1" applyAlignment="1">
      <alignment horizontal="center" vertical="center"/>
    </xf>
    <xf numFmtId="0" fontId="33" fillId="4" borderId="0" xfId="4" applyFont="1" applyFill="1" applyAlignment="1">
      <alignment horizontal="center" vertical="center" wrapText="1"/>
    </xf>
    <xf numFmtId="0" fontId="162" fillId="47" borderId="45" xfId="4" applyFont="1" applyFill="1" applyBorder="1" applyAlignment="1" applyProtection="1">
      <alignment horizontal="center" vertical="center"/>
      <protection locked="0"/>
    </xf>
    <xf numFmtId="0" fontId="164" fillId="47" borderId="45" xfId="4" applyFont="1" applyFill="1" applyBorder="1" applyAlignment="1" applyProtection="1">
      <alignment horizontal="center" vertical="center"/>
      <protection locked="0"/>
    </xf>
    <xf numFmtId="170" fontId="165" fillId="24" borderId="78" xfId="24" applyNumberFormat="1" applyFont="1" applyFill="1" applyBorder="1" applyAlignment="1" applyProtection="1">
      <alignment horizontal="center" vertical="center" wrapText="1"/>
      <protection locked="0"/>
    </xf>
    <xf numFmtId="170" fontId="165" fillId="24" borderId="36" xfId="24" applyNumberFormat="1" applyFont="1" applyFill="1" applyBorder="1" applyAlignment="1" applyProtection="1">
      <alignment horizontal="center" vertical="center" wrapText="1"/>
      <protection locked="0"/>
    </xf>
    <xf numFmtId="1" fontId="166" fillId="12" borderId="36" xfId="24" applyNumberFormat="1" applyFont="1" applyFill="1" applyBorder="1" applyAlignment="1" applyProtection="1">
      <alignment horizontal="center" vertical="center" wrapText="1"/>
      <protection locked="0"/>
    </xf>
    <xf numFmtId="170" fontId="166" fillId="21" borderId="80" xfId="4" applyNumberFormat="1" applyFont="1" applyFill="1" applyBorder="1" applyAlignment="1">
      <alignment horizontal="center" vertical="center"/>
    </xf>
    <xf numFmtId="0" fontId="31" fillId="4" borderId="0" xfId="4" applyFont="1" applyFill="1" applyAlignment="1" applyProtection="1">
      <alignment horizontal="right" vertical="center"/>
      <protection locked="0"/>
    </xf>
    <xf numFmtId="0" fontId="14" fillId="4" borderId="0" xfId="4" applyFont="1" applyFill="1" applyAlignment="1">
      <alignment horizontal="right" vertical="center"/>
    </xf>
    <xf numFmtId="0" fontId="27" fillId="4" borderId="110" xfId="4" applyFont="1" applyFill="1" applyBorder="1" applyAlignment="1">
      <alignment vertical="center"/>
    </xf>
    <xf numFmtId="0" fontId="27" fillId="4" borderId="111" xfId="4" applyFont="1" applyFill="1" applyBorder="1" applyAlignment="1">
      <alignment vertical="center"/>
    </xf>
    <xf numFmtId="0" fontId="27" fillId="14" borderId="113" xfId="4" applyFont="1" applyFill="1" applyBorder="1" applyAlignment="1">
      <alignment vertical="center"/>
    </xf>
    <xf numFmtId="49" fontId="14" fillId="0" borderId="45" xfId="4" applyNumberFormat="1" applyFont="1" applyBorder="1" applyAlignment="1">
      <alignment horizontal="center" vertical="center"/>
    </xf>
    <xf numFmtId="0" fontId="14" fillId="0" borderId="45" xfId="4" applyFont="1" applyBorder="1" applyAlignment="1">
      <alignment horizontal="center" vertical="center"/>
    </xf>
    <xf numFmtId="49" fontId="14" fillId="0" borderId="45" xfId="4" applyNumberFormat="1" applyFont="1" applyBorder="1" applyAlignment="1">
      <alignment horizontal="center" vertical="center" wrapText="1"/>
    </xf>
    <xf numFmtId="0" fontId="14" fillId="0" borderId="45" xfId="4" applyFont="1" applyBorder="1" applyAlignment="1">
      <alignment horizontal="center" vertical="center" wrapText="1"/>
    </xf>
    <xf numFmtId="0" fontId="169" fillId="0" borderId="0" xfId="29" applyFont="1"/>
    <xf numFmtId="0" fontId="169" fillId="18" borderId="0" xfId="29" applyFont="1" applyFill="1"/>
    <xf numFmtId="0" fontId="176" fillId="0" borderId="0" xfId="29" applyFont="1"/>
    <xf numFmtId="0" fontId="176" fillId="18" borderId="0" xfId="29" applyFont="1" applyFill="1"/>
    <xf numFmtId="167" fontId="154" fillId="4" borderId="89" xfId="3" applyNumberFormat="1" applyFont="1" applyFill="1" applyBorder="1" applyAlignment="1">
      <alignment horizontal="center" vertical="center"/>
    </xf>
    <xf numFmtId="193" fontId="191" fillId="24" borderId="0" xfId="3" applyNumberFormat="1" applyFont="1" applyFill="1" applyAlignment="1">
      <alignment horizontal="center" vertical="center"/>
    </xf>
    <xf numFmtId="0" fontId="192" fillId="0" borderId="90" xfId="13" applyFont="1" applyBorder="1" applyAlignment="1">
      <alignment horizontal="left" vertical="center" indent="1"/>
    </xf>
    <xf numFmtId="0" fontId="193" fillId="0" borderId="145" xfId="13" applyFont="1" applyBorder="1" applyAlignment="1">
      <alignment horizontal="left" vertical="center" indent="1"/>
    </xf>
    <xf numFmtId="14" fontId="193" fillId="0" borderId="146" xfId="13" applyNumberFormat="1" applyFont="1" applyBorder="1" applyAlignment="1">
      <alignment horizontal="left" vertical="center" indent="1"/>
    </xf>
    <xf numFmtId="0" fontId="193" fillId="0" borderId="147" xfId="13" applyFont="1" applyBorder="1" applyAlignment="1">
      <alignment horizontal="left" vertical="center" indent="1"/>
    </xf>
    <xf numFmtId="14" fontId="193" fillId="0" borderId="148" xfId="13" applyNumberFormat="1" applyFont="1" applyBorder="1" applyAlignment="1">
      <alignment horizontal="left" vertical="center" indent="1"/>
    </xf>
    <xf numFmtId="167" fontId="154" fillId="4" borderId="110" xfId="3" applyNumberFormat="1" applyFont="1" applyFill="1" applyBorder="1" applyAlignment="1">
      <alignment horizontal="center" vertical="center"/>
    </xf>
    <xf numFmtId="193" fontId="191" fillId="24" borderId="111" xfId="3" applyNumberFormat="1" applyFont="1" applyFill="1" applyBorder="1" applyAlignment="1">
      <alignment horizontal="center" vertical="center"/>
    </xf>
    <xf numFmtId="0" fontId="192" fillId="0" borderId="113" xfId="13" applyFont="1" applyBorder="1" applyAlignment="1">
      <alignment horizontal="left" vertical="center" indent="1"/>
    </xf>
    <xf numFmtId="0" fontId="193" fillId="0" borderId="149" xfId="13" applyFont="1" applyBorder="1" applyAlignment="1">
      <alignment horizontal="left" vertical="center" indent="1"/>
    </xf>
    <xf numFmtId="14" fontId="193" fillId="0" borderId="150" xfId="13" applyNumberFormat="1" applyFont="1" applyBorder="1" applyAlignment="1">
      <alignment horizontal="left" vertical="center" indent="1"/>
    </xf>
    <xf numFmtId="0" fontId="171" fillId="0" borderId="0" xfId="34" applyFont="1"/>
    <xf numFmtId="0" fontId="169" fillId="0" borderId="0" xfId="29" applyFont="1" applyAlignment="1">
      <alignment horizontal="left"/>
    </xf>
    <xf numFmtId="187" fontId="173" fillId="24" borderId="156" xfId="38" applyNumberFormat="1" applyFont="1" applyFill="1" applyBorder="1" applyAlignment="1">
      <alignment horizontal="left" vertical="center"/>
    </xf>
    <xf numFmtId="187" fontId="173" fillId="24" borderId="157" xfId="38" applyNumberFormat="1" applyFont="1" applyFill="1" applyBorder="1" applyAlignment="1">
      <alignment horizontal="left" vertical="center"/>
    </xf>
    <xf numFmtId="187" fontId="173" fillId="24" borderId="157" xfId="38" applyNumberFormat="1" applyFont="1" applyFill="1" applyBorder="1" applyAlignment="1">
      <alignment horizontal="right" vertical="center"/>
    </xf>
    <xf numFmtId="170" fontId="173" fillId="0" borderId="158" xfId="28" applyNumberFormat="1" applyFont="1" applyBorder="1" applyAlignment="1">
      <alignment horizontal="center" vertical="center"/>
    </xf>
    <xf numFmtId="0" fontId="31" fillId="0" borderId="0" xfId="34" applyFont="1"/>
    <xf numFmtId="0" fontId="176" fillId="14" borderId="0" xfId="29" applyFont="1" applyFill="1"/>
    <xf numFmtId="0" fontId="169" fillId="10" borderId="0" xfId="29" applyFont="1" applyFill="1"/>
    <xf numFmtId="0" fontId="202" fillId="10" borderId="0" xfId="29" applyFont="1" applyFill="1" applyAlignment="1">
      <alignment vertical="center"/>
    </xf>
    <xf numFmtId="0" fontId="182" fillId="10" borderId="0" xfId="29" applyFont="1" applyFill="1" applyAlignment="1">
      <alignment horizontal="left" vertical="center"/>
    </xf>
    <xf numFmtId="21" fontId="169" fillId="10" borderId="0" xfId="29" applyNumberFormat="1" applyFont="1" applyFill="1"/>
    <xf numFmtId="0" fontId="171" fillId="10" borderId="0" xfId="34" applyFont="1" applyFill="1"/>
    <xf numFmtId="0" fontId="182" fillId="10" borderId="0" xfId="34" applyFont="1" applyFill="1" applyAlignment="1">
      <alignment horizontal="left" vertical="center"/>
    </xf>
    <xf numFmtId="21" fontId="182" fillId="10" borderId="0" xfId="29" applyNumberFormat="1" applyFont="1" applyFill="1" applyAlignment="1">
      <alignment horizontal="left" vertical="center"/>
    </xf>
    <xf numFmtId="0" fontId="169" fillId="4" borderId="0" xfId="29" applyFont="1" applyFill="1"/>
    <xf numFmtId="0" fontId="171" fillId="4" borderId="0" xfId="34" applyFont="1" applyFill="1"/>
    <xf numFmtId="0" fontId="31" fillId="4" borderId="0" xfId="34" applyFont="1" applyFill="1"/>
    <xf numFmtId="0" fontId="176" fillId="4" borderId="0" xfId="29" applyFont="1" applyFill="1"/>
    <xf numFmtId="0" fontId="203" fillId="0" borderId="0" xfId="29" applyFont="1" applyAlignment="1">
      <alignment horizontal="left"/>
    </xf>
    <xf numFmtId="187" fontId="204" fillId="10" borderId="0" xfId="29" applyNumberFormat="1" applyFont="1" applyFill="1" applyBorder="1" applyAlignment="1">
      <alignment horizontal="left" vertical="center"/>
    </xf>
    <xf numFmtId="0" fontId="204" fillId="10" borderId="0" xfId="29" applyFont="1" applyFill="1"/>
    <xf numFmtId="0" fontId="154" fillId="0" borderId="71" xfId="33" applyFont="1" applyBorder="1" applyAlignment="1">
      <alignment horizontal="centerContinuous" vertical="center"/>
    </xf>
    <xf numFmtId="0" fontId="30" fillId="0" borderId="0" xfId="34" applyFont="1"/>
    <xf numFmtId="0" fontId="27" fillId="24" borderId="74" xfId="33" applyFont="1" applyFill="1" applyBorder="1" applyAlignment="1">
      <alignment vertical="center"/>
    </xf>
    <xf numFmtId="167" fontId="172" fillId="0" borderId="0" xfId="34" applyNumberFormat="1" applyFont="1" applyAlignment="1">
      <alignment vertical="center" textRotation="90"/>
    </xf>
    <xf numFmtId="0" fontId="27" fillId="24" borderId="133" xfId="33" applyFont="1" applyFill="1" applyBorder="1" applyAlignment="1">
      <alignment vertical="center"/>
    </xf>
    <xf numFmtId="0" fontId="30" fillId="0" borderId="0" xfId="35" applyFont="1" applyAlignment="1">
      <alignment horizontal="centerContinuous" vertical="center"/>
    </xf>
    <xf numFmtId="0" fontId="205" fillId="29" borderId="103" xfId="35" applyFont="1" applyFill="1" applyBorder="1" applyAlignment="1">
      <alignment horizontal="centerContinuous" vertical="center"/>
    </xf>
    <xf numFmtId="0" fontId="175" fillId="37" borderId="78" xfId="35" applyFont="1" applyFill="1" applyBorder="1" applyAlignment="1">
      <alignment horizontal="center" vertical="center"/>
    </xf>
    <xf numFmtId="0" fontId="151" fillId="37" borderId="80" xfId="35" applyFont="1" applyFill="1" applyBorder="1" applyAlignment="1">
      <alignment horizontal="center" vertical="center"/>
    </xf>
    <xf numFmtId="0" fontId="150" fillId="0" borderId="0" xfId="35" applyFont="1" applyAlignment="1">
      <alignment vertical="center"/>
    </xf>
    <xf numFmtId="0" fontId="175" fillId="11" borderId="78" xfId="35" applyFont="1" applyFill="1" applyBorder="1" applyAlignment="1">
      <alignment horizontal="center" vertical="center"/>
    </xf>
    <xf numFmtId="0" fontId="151" fillId="11" borderId="80" xfId="35" applyFont="1" applyFill="1" applyBorder="1" applyAlignment="1">
      <alignment horizontal="center" vertical="center"/>
    </xf>
    <xf numFmtId="0" fontId="174" fillId="38" borderId="78" xfId="35" applyFont="1" applyFill="1" applyBorder="1" applyAlignment="1">
      <alignment horizontal="center" vertical="center"/>
    </xf>
    <xf numFmtId="0" fontId="178" fillId="38" borderId="36" xfId="35" applyFont="1" applyFill="1" applyBorder="1" applyAlignment="1">
      <alignment horizontal="center" vertical="center"/>
    </xf>
    <xf numFmtId="0" fontId="30" fillId="0" borderId="0" xfId="35" applyFont="1" applyAlignment="1">
      <alignment horizontal="left" vertical="center"/>
    </xf>
    <xf numFmtId="0" fontId="179" fillId="0" borderId="78" xfId="35" applyFont="1" applyBorder="1" applyAlignment="1">
      <alignment horizontal="center" vertical="center"/>
    </xf>
    <xf numFmtId="0" fontId="151" fillId="0" borderId="80" xfId="35" applyFont="1" applyBorder="1" applyAlignment="1">
      <alignment horizontal="center" vertical="center"/>
    </xf>
    <xf numFmtId="0" fontId="30" fillId="0" borderId="0" xfId="35" applyFont="1"/>
    <xf numFmtId="187" fontId="181" fillId="24" borderId="132" xfId="35" applyNumberFormat="1" applyFont="1" applyFill="1" applyBorder="1" applyAlignment="1">
      <alignment horizontal="left" vertical="center"/>
    </xf>
    <xf numFmtId="0" fontId="182" fillId="24" borderId="72" xfId="35" applyFont="1" applyFill="1" applyBorder="1" applyAlignment="1">
      <alignment horizontal="center" vertical="center"/>
    </xf>
    <xf numFmtId="0" fontId="175" fillId="28" borderId="78" xfId="35" applyFont="1" applyFill="1" applyBorder="1" applyAlignment="1">
      <alignment horizontal="center" vertical="center"/>
    </xf>
    <xf numFmtId="0" fontId="30" fillId="28" borderId="80" xfId="35" applyFont="1" applyFill="1" applyBorder="1" applyAlignment="1">
      <alignment horizontal="center" vertical="center"/>
    </xf>
    <xf numFmtId="0" fontId="184" fillId="5" borderId="78" xfId="35" applyFont="1" applyFill="1" applyBorder="1" applyAlignment="1">
      <alignment horizontal="left" vertical="center"/>
    </xf>
    <xf numFmtId="0" fontId="151" fillId="5" borderId="80" xfId="35" applyFont="1" applyFill="1" applyBorder="1" applyAlignment="1">
      <alignment horizontal="center" vertical="center"/>
    </xf>
    <xf numFmtId="0" fontId="27" fillId="0" borderId="0" xfId="35" applyFont="1" applyAlignment="1">
      <alignment horizontal="right" vertical="center"/>
    </xf>
    <xf numFmtId="0" fontId="174" fillId="18" borderId="78" xfId="33" applyFont="1" applyFill="1" applyBorder="1" applyAlignment="1">
      <alignment horizontal="center" vertical="center"/>
    </xf>
    <xf numFmtId="0" fontId="178" fillId="18" borderId="36" xfId="35" applyFont="1" applyFill="1" applyBorder="1" applyAlignment="1">
      <alignment horizontal="center" vertical="center"/>
    </xf>
    <xf numFmtId="0" fontId="181" fillId="0" borderId="42" xfId="35" applyFont="1" applyBorder="1" applyAlignment="1">
      <alignment horizontal="right" vertical="center"/>
    </xf>
    <xf numFmtId="0" fontId="181" fillId="0" borderId="42" xfId="35" applyFont="1" applyBorder="1" applyAlignment="1">
      <alignment horizontal="left" vertical="center"/>
    </xf>
    <xf numFmtId="0" fontId="27" fillId="24" borderId="42" xfId="35" applyFont="1" applyFill="1" applyBorder="1" applyAlignment="1">
      <alignment horizontal="left" vertical="center"/>
    </xf>
    <xf numFmtId="0" fontId="182" fillId="24" borderId="42" xfId="35" applyFont="1" applyFill="1" applyBorder="1" applyAlignment="1">
      <alignment horizontal="center" vertical="center"/>
    </xf>
    <xf numFmtId="0" fontId="30" fillId="43" borderId="0" xfId="33" applyFont="1" applyFill="1" applyAlignment="1" applyProtection="1">
      <alignment vertical="center"/>
      <protection locked="0"/>
    </xf>
    <xf numFmtId="0" fontId="27" fillId="48" borderId="130" xfId="34" applyFont="1" applyFill="1" applyBorder="1" applyAlignment="1">
      <alignment horizontal="center"/>
    </xf>
    <xf numFmtId="0" fontId="173" fillId="0" borderId="154" xfId="34" applyFont="1" applyBorder="1" applyAlignment="1">
      <alignment horizontal="center" vertical="center"/>
    </xf>
    <xf numFmtId="0" fontId="181" fillId="24" borderId="133" xfId="35" applyFont="1" applyFill="1" applyBorder="1" applyAlignment="1">
      <alignment vertical="center"/>
    </xf>
    <xf numFmtId="187" fontId="181" fillId="24" borderId="133" xfId="35" applyNumberFormat="1" applyFont="1" applyFill="1" applyBorder="1" applyAlignment="1">
      <alignment horizontal="right" vertical="center"/>
    </xf>
    <xf numFmtId="187" fontId="181" fillId="24" borderId="74" xfId="35" applyNumberFormat="1" applyFont="1" applyFill="1" applyBorder="1" applyAlignment="1">
      <alignment horizontal="right" vertical="center"/>
    </xf>
    <xf numFmtId="187" fontId="175" fillId="0" borderId="131" xfId="34" applyNumberFormat="1" applyFont="1" applyBorder="1" applyAlignment="1">
      <alignment horizontal="center"/>
    </xf>
    <xf numFmtId="187" fontId="181" fillId="24" borderId="132" xfId="35" applyNumberFormat="1" applyFont="1" applyFill="1" applyBorder="1" applyAlignment="1">
      <alignment horizontal="centerContinuous" vertical="center"/>
    </xf>
    <xf numFmtId="0" fontId="30" fillId="24" borderId="104" xfId="35" applyFont="1" applyFill="1" applyBorder="1" applyAlignment="1">
      <alignment horizontal="centerContinuous" vertical="center"/>
    </xf>
    <xf numFmtId="0" fontId="27" fillId="0" borderId="133" xfId="29" applyFont="1" applyBorder="1" applyAlignment="1">
      <alignment vertical="center"/>
    </xf>
    <xf numFmtId="0" fontId="27" fillId="24" borderId="115" xfId="35" applyFont="1" applyFill="1" applyBorder="1" applyAlignment="1">
      <alignment horizontal="left" vertical="center"/>
    </xf>
    <xf numFmtId="0" fontId="27" fillId="0" borderId="154" xfId="34" applyFont="1" applyBorder="1" applyAlignment="1">
      <alignment horizontal="center" vertical="center"/>
    </xf>
    <xf numFmtId="0" fontId="186" fillId="24" borderId="133" xfId="35" applyFont="1" applyFill="1" applyBorder="1" applyAlignment="1">
      <alignment vertical="center"/>
    </xf>
    <xf numFmtId="187" fontId="187" fillId="24" borderId="133" xfId="35" applyNumberFormat="1" applyFont="1" applyFill="1" applyBorder="1" applyAlignment="1">
      <alignment horizontal="right" vertical="center"/>
    </xf>
    <xf numFmtId="187" fontId="183" fillId="24" borderId="133" xfId="35" applyNumberFormat="1" applyFont="1" applyFill="1" applyBorder="1" applyAlignment="1">
      <alignment horizontal="centerContinuous" vertical="center"/>
    </xf>
    <xf numFmtId="0" fontId="27" fillId="24" borderId="115" xfId="35" applyFont="1" applyFill="1" applyBorder="1" applyAlignment="1">
      <alignment horizontal="centerContinuous" vertical="center"/>
    </xf>
    <xf numFmtId="0" fontId="30" fillId="35" borderId="79" xfId="34" applyFont="1" applyFill="1" applyBorder="1" applyAlignment="1">
      <alignment horizontal="center" vertical="center"/>
    </xf>
    <xf numFmtId="0" fontId="188" fillId="24" borderId="74" xfId="35" applyFont="1" applyFill="1" applyBorder="1" applyAlignment="1">
      <alignment vertical="center"/>
    </xf>
    <xf numFmtId="187" fontId="189" fillId="24" borderId="74" xfId="35" applyNumberFormat="1" applyFont="1" applyFill="1" applyBorder="1" applyAlignment="1">
      <alignment horizontal="right" vertical="center"/>
    </xf>
    <xf numFmtId="0" fontId="150" fillId="0" borderId="133" xfId="34" applyFont="1" applyBorder="1" applyAlignment="1">
      <alignment horizontal="left" vertical="center"/>
    </xf>
    <xf numFmtId="0" fontId="183" fillId="24" borderId="78" xfId="35" applyFont="1" applyFill="1" applyBorder="1" applyAlignment="1">
      <alignment vertical="center"/>
    </xf>
    <xf numFmtId="0" fontId="150" fillId="0" borderId="0" xfId="34" applyFont="1" applyAlignment="1">
      <alignment horizontal="left" vertical="center"/>
    </xf>
    <xf numFmtId="167" fontId="190" fillId="0" borderId="0" xfId="34" applyNumberFormat="1" applyFont="1" applyAlignment="1">
      <alignment vertical="center" textRotation="90"/>
    </xf>
    <xf numFmtId="170" fontId="207" fillId="24" borderId="159" xfId="28" applyNumberFormat="1" applyFont="1" applyFill="1" applyBorder="1" applyAlignment="1">
      <alignment horizontal="center" vertical="center"/>
    </xf>
    <xf numFmtId="0" fontId="208" fillId="10" borderId="0" xfId="34" applyFont="1" applyFill="1" applyAlignment="1">
      <alignment horizontal="left" vertical="center"/>
    </xf>
    <xf numFmtId="0" fontId="203" fillId="0" borderId="80" xfId="35" applyFont="1" applyBorder="1" applyAlignment="1">
      <alignment horizontal="center" vertical="center"/>
    </xf>
    <xf numFmtId="0" fontId="176" fillId="37" borderId="80" xfId="35" applyFont="1" applyFill="1" applyBorder="1" applyAlignment="1">
      <alignment horizontal="center" vertical="center"/>
    </xf>
    <xf numFmtId="0" fontId="176" fillId="11" borderId="80" xfId="35" applyFont="1" applyFill="1" applyBorder="1" applyAlignment="1">
      <alignment horizontal="center" vertical="center"/>
    </xf>
    <xf numFmtId="0" fontId="176" fillId="28" borderId="80" xfId="35" applyFont="1" applyFill="1" applyBorder="1" applyAlignment="1">
      <alignment horizontal="center" vertical="center"/>
    </xf>
    <xf numFmtId="0" fontId="210" fillId="5" borderId="80" xfId="35" applyFont="1" applyFill="1" applyBorder="1" applyAlignment="1">
      <alignment horizontal="left" vertical="center"/>
    </xf>
    <xf numFmtId="0" fontId="211" fillId="38" borderId="80" xfId="35" applyFont="1" applyFill="1" applyBorder="1" applyAlignment="1">
      <alignment horizontal="center" vertical="center"/>
    </xf>
    <xf numFmtId="0" fontId="211" fillId="18" borderId="80" xfId="33" applyFont="1" applyFill="1" applyBorder="1" applyAlignment="1">
      <alignment horizontal="center" vertical="center"/>
    </xf>
    <xf numFmtId="0" fontId="151" fillId="43" borderId="160" xfId="35" applyFont="1" applyFill="1" applyBorder="1" applyAlignment="1">
      <alignment horizontal="center" vertical="center"/>
    </xf>
    <xf numFmtId="0" fontId="203" fillId="0" borderId="161" xfId="35" applyFont="1" applyBorder="1" applyAlignment="1">
      <alignment horizontal="center" vertical="center"/>
    </xf>
    <xf numFmtId="0" fontId="151" fillId="56" borderId="133" xfId="35" applyFont="1" applyFill="1" applyBorder="1" applyAlignment="1">
      <alignment horizontal="center" vertical="center"/>
    </xf>
    <xf numFmtId="0" fontId="176" fillId="56" borderId="115" xfId="35" applyFont="1" applyFill="1" applyBorder="1" applyAlignment="1">
      <alignment horizontal="center" vertical="center"/>
    </xf>
    <xf numFmtId="0" fontId="151" fillId="57" borderId="133" xfId="35" applyFont="1" applyFill="1" applyBorder="1" applyAlignment="1">
      <alignment horizontal="center" vertical="center"/>
    </xf>
    <xf numFmtId="0" fontId="176" fillId="57" borderId="115" xfId="35" applyFont="1" applyFill="1" applyBorder="1" applyAlignment="1">
      <alignment horizontal="center" vertical="center"/>
    </xf>
    <xf numFmtId="0" fontId="151" fillId="58" borderId="133" xfId="35" applyFont="1" applyFill="1" applyBorder="1" applyAlignment="1">
      <alignment horizontal="center" vertical="center"/>
    </xf>
    <xf numFmtId="0" fontId="176" fillId="58" borderId="115" xfId="35" applyFont="1" applyFill="1" applyBorder="1" applyAlignment="1">
      <alignment horizontal="center" vertical="center"/>
    </xf>
    <xf numFmtId="0" fontId="212" fillId="3" borderId="133" xfId="35" applyFont="1" applyFill="1" applyBorder="1" applyAlignment="1">
      <alignment horizontal="center" vertical="center"/>
    </xf>
    <xf numFmtId="0" fontId="210" fillId="3" borderId="115" xfId="35" applyFont="1" applyFill="1" applyBorder="1" applyAlignment="1">
      <alignment horizontal="left" vertical="center"/>
    </xf>
    <xf numFmtId="0" fontId="209" fillId="59" borderId="133" xfId="35" applyFont="1" applyFill="1" applyBorder="1" applyAlignment="1">
      <alignment horizontal="center" vertical="center"/>
    </xf>
    <xf numFmtId="0" fontId="211" fillId="59" borderId="115" xfId="35" applyFont="1" applyFill="1" applyBorder="1" applyAlignment="1">
      <alignment horizontal="center" vertical="center"/>
    </xf>
    <xf numFmtId="0" fontId="209" fillId="7" borderId="74" xfId="35" applyFont="1" applyFill="1" applyBorder="1" applyAlignment="1">
      <alignment horizontal="center" vertical="center"/>
    </xf>
    <xf numFmtId="0" fontId="211" fillId="18" borderId="105" xfId="33" applyFont="1" applyFill="1" applyBorder="1" applyAlignment="1">
      <alignment horizontal="center" vertical="center"/>
    </xf>
    <xf numFmtId="0" fontId="30" fillId="4" borderId="0" xfId="35" applyFont="1" applyFill="1"/>
    <xf numFmtId="0" fontId="30" fillId="4" borderId="0" xfId="35" applyFont="1" applyFill="1" applyAlignment="1">
      <alignment horizontal="centerContinuous" vertical="center"/>
    </xf>
    <xf numFmtId="0" fontId="150" fillId="4" borderId="0" xfId="35" applyFont="1" applyFill="1" applyAlignment="1">
      <alignment horizontal="centerContinuous" vertical="center"/>
    </xf>
    <xf numFmtId="0" fontId="30" fillId="4" borderId="0" xfId="35" applyFont="1" applyFill="1" applyAlignment="1">
      <alignment horizontal="center" vertical="center"/>
    </xf>
    <xf numFmtId="0" fontId="30" fillId="4" borderId="133" xfId="35" applyFont="1" applyFill="1" applyBorder="1"/>
    <xf numFmtId="0" fontId="151" fillId="4" borderId="115" xfId="35" applyFont="1" applyFill="1" applyBorder="1" applyAlignment="1">
      <alignment horizontal="center" vertical="center"/>
    </xf>
    <xf numFmtId="0" fontId="182" fillId="4" borderId="133" xfId="35" applyFont="1" applyFill="1" applyBorder="1" applyAlignment="1">
      <alignment horizontal="center" vertical="center"/>
    </xf>
    <xf numFmtId="0" fontId="30" fillId="4" borderId="0" xfId="34" applyFont="1" applyFill="1"/>
    <xf numFmtId="0" fontId="167" fillId="4" borderId="0" xfId="34" applyFont="1" applyFill="1"/>
    <xf numFmtId="0" fontId="30" fillId="4" borderId="0" xfId="34" applyFont="1" applyFill="1" applyAlignment="1">
      <alignment vertical="center"/>
    </xf>
    <xf numFmtId="0" fontId="150" fillId="4" borderId="0" xfId="34" applyFont="1" applyFill="1" applyAlignment="1">
      <alignment horizontal="left" vertical="center"/>
    </xf>
    <xf numFmtId="0" fontId="203" fillId="4" borderId="0" xfId="29" applyFont="1" applyFill="1"/>
    <xf numFmtId="0" fontId="173" fillId="4" borderId="154" xfId="34" applyFont="1" applyFill="1" applyBorder="1" applyAlignment="1">
      <alignment horizontal="center" vertical="center"/>
    </xf>
    <xf numFmtId="0" fontId="151" fillId="0" borderId="0" xfId="34" applyFont="1" applyAlignment="1">
      <alignment vertical="center"/>
    </xf>
    <xf numFmtId="0" fontId="151" fillId="9" borderId="79" xfId="34" applyFont="1" applyFill="1" applyBorder="1" applyAlignment="1">
      <alignment horizontal="center" vertical="center"/>
    </xf>
    <xf numFmtId="0" fontId="173" fillId="4" borderId="133" xfId="34" applyFont="1" applyFill="1" applyBorder="1" applyAlignment="1">
      <alignment horizontal="left" vertical="center"/>
    </xf>
    <xf numFmtId="0" fontId="201" fillId="4" borderId="0" xfId="29" applyFont="1" applyFill="1"/>
    <xf numFmtId="0" fontId="14" fillId="4" borderId="0" xfId="4" applyFont="1" applyFill="1" applyAlignment="1">
      <alignment horizontal="center" vertical="center" wrapText="1"/>
    </xf>
    <xf numFmtId="0" fontId="30" fillId="0" borderId="0" xfId="31" applyFont="1"/>
    <xf numFmtId="0" fontId="27" fillId="0" borderId="132" xfId="3" applyFont="1" applyBorder="1" applyAlignment="1">
      <alignment horizontal="left" vertical="center"/>
    </xf>
    <xf numFmtId="0" fontId="27" fillId="0" borderId="72" xfId="3" applyFont="1" applyBorder="1" applyAlignment="1">
      <alignment horizontal="left" vertical="center"/>
    </xf>
    <xf numFmtId="0" fontId="27" fillId="0" borderId="133" xfId="3" applyFont="1" applyBorder="1" applyAlignment="1">
      <alignment horizontal="left" vertical="center"/>
    </xf>
    <xf numFmtId="0" fontId="27" fillId="0" borderId="0" xfId="3" applyFont="1" applyAlignment="1">
      <alignment horizontal="left" vertical="center"/>
    </xf>
    <xf numFmtId="0" fontId="129" fillId="24" borderId="24" xfId="31" applyFont="1" applyFill="1" applyBorder="1" applyAlignment="1">
      <alignment horizontal="left" vertical="center"/>
    </xf>
    <xf numFmtId="0" fontId="129" fillId="24" borderId="14" xfId="31" applyFont="1" applyFill="1" applyBorder="1" applyAlignment="1">
      <alignment horizontal="left" vertical="center"/>
    </xf>
    <xf numFmtId="0" fontId="149" fillId="24" borderId="14" xfId="31" applyFont="1" applyFill="1" applyBorder="1" applyAlignment="1">
      <alignment horizontal="right" vertical="center"/>
    </xf>
    <xf numFmtId="0" fontId="31" fillId="0" borderId="0" xfId="31" applyFont="1"/>
    <xf numFmtId="0" fontId="30" fillId="0" borderId="0" xfId="3" applyFont="1"/>
    <xf numFmtId="0" fontId="218" fillId="24" borderId="36" xfId="3" applyFont="1" applyFill="1" applyBorder="1" applyAlignment="1">
      <alignment horizontal="center" vertical="center"/>
    </xf>
    <xf numFmtId="0" fontId="219" fillId="24" borderId="36" xfId="3" applyFont="1" applyFill="1" applyBorder="1" applyAlignment="1">
      <alignment horizontal="right" vertical="center"/>
    </xf>
    <xf numFmtId="170" fontId="31" fillId="21" borderId="0" xfId="3" applyNumberFormat="1" applyFont="1" applyFill="1" applyAlignment="1">
      <alignment horizontal="center" vertical="center"/>
    </xf>
    <xf numFmtId="164" fontId="216" fillId="24" borderId="42" xfId="3" applyNumberFormat="1" applyFont="1" applyFill="1" applyBorder="1" applyAlignment="1">
      <alignment horizontal="center" vertical="top"/>
    </xf>
    <xf numFmtId="191" fontId="154" fillId="0" borderId="137" xfId="3" applyNumberFormat="1" applyFont="1" applyBorder="1" applyAlignment="1">
      <alignment horizontal="left" vertical="center"/>
    </xf>
    <xf numFmtId="0" fontId="31" fillId="51" borderId="138" xfId="3" applyFont="1" applyFill="1" applyBorder="1" applyAlignment="1">
      <alignment horizontal="left" vertical="center"/>
    </xf>
    <xf numFmtId="0" fontId="35" fillId="5" borderId="138" xfId="7" applyFont="1" applyFill="1" applyBorder="1" applyAlignment="1">
      <alignment horizontal="center" vertical="center"/>
    </xf>
    <xf numFmtId="0" fontId="218" fillId="24" borderId="36" xfId="3" applyFont="1" applyFill="1" applyBorder="1" applyAlignment="1">
      <alignment horizontal="center"/>
    </xf>
    <xf numFmtId="0" fontId="221" fillId="0" borderId="49" xfId="3" applyFont="1" applyBorder="1" applyAlignment="1">
      <alignment horizontal="center"/>
    </xf>
    <xf numFmtId="0" fontId="30" fillId="0" borderId="23" xfId="3" applyFont="1" applyBorder="1"/>
    <xf numFmtId="170" fontId="31" fillId="0" borderId="0" xfId="3" applyNumberFormat="1" applyFont="1" applyAlignment="1">
      <alignment horizontal="center" vertical="center"/>
    </xf>
    <xf numFmtId="0" fontId="30" fillId="0" borderId="117" xfId="3" applyFont="1" applyBorder="1"/>
    <xf numFmtId="0" fontId="218" fillId="24" borderId="45" xfId="3" applyFont="1" applyFill="1" applyBorder="1" applyAlignment="1">
      <alignment horizontal="center"/>
    </xf>
    <xf numFmtId="0" fontId="222" fillId="24" borderId="45" xfId="3" applyFont="1" applyFill="1" applyBorder="1" applyAlignment="1">
      <alignment horizontal="center"/>
    </xf>
    <xf numFmtId="0" fontId="221" fillId="0" borderId="140" xfId="3" applyFont="1" applyBorder="1" applyAlignment="1">
      <alignment horizontal="left"/>
    </xf>
    <xf numFmtId="0" fontId="149" fillId="0" borderId="0" xfId="3" applyFont="1" applyAlignment="1">
      <alignment horizontal="center" vertical="center"/>
    </xf>
    <xf numFmtId="0" fontId="149" fillId="51" borderId="0" xfId="3" applyFont="1" applyFill="1" applyAlignment="1">
      <alignment horizontal="center" vertical="center"/>
    </xf>
    <xf numFmtId="0" fontId="149" fillId="53" borderId="0" xfId="3" applyFont="1" applyFill="1" applyAlignment="1">
      <alignment horizontal="center" vertical="center"/>
    </xf>
    <xf numFmtId="0" fontId="149" fillId="3" borderId="0" xfId="3" applyFont="1" applyFill="1" applyAlignment="1">
      <alignment horizontal="center" vertical="center"/>
    </xf>
    <xf numFmtId="170" fontId="176" fillId="0" borderId="0" xfId="3" applyNumberFormat="1" applyFont="1" applyAlignment="1">
      <alignment horizontal="center" vertical="center"/>
    </xf>
    <xf numFmtId="0" fontId="167" fillId="0" borderId="140" xfId="3" applyFont="1" applyBorder="1" applyAlignment="1">
      <alignment horizontal="left"/>
    </xf>
    <xf numFmtId="0" fontId="30" fillId="0" borderId="140" xfId="3" applyFont="1" applyBorder="1" applyAlignment="1">
      <alignment horizontal="left"/>
    </xf>
    <xf numFmtId="0" fontId="218" fillId="14" borderId="139" xfId="3" applyFont="1" applyFill="1" applyBorder="1" applyAlignment="1">
      <alignment horizontal="center"/>
    </xf>
    <xf numFmtId="0" fontId="218" fillId="14" borderId="95" xfId="3" applyFont="1" applyFill="1" applyBorder="1" applyAlignment="1">
      <alignment horizontal="center"/>
    </xf>
    <xf numFmtId="193" fontId="191" fillId="4" borderId="0" xfId="13" applyNumberFormat="1" applyFont="1" applyFill="1" applyAlignment="1">
      <alignment horizontal="left" vertical="center"/>
    </xf>
    <xf numFmtId="0" fontId="221" fillId="24" borderId="140" xfId="3" applyFont="1" applyFill="1" applyBorder="1" applyAlignment="1">
      <alignment horizontal="left"/>
    </xf>
    <xf numFmtId="0" fontId="30" fillId="0" borderId="101" xfId="3" applyFont="1" applyBorder="1"/>
    <xf numFmtId="0" fontId="30" fillId="0" borderId="102" xfId="3" applyFont="1" applyBorder="1"/>
    <xf numFmtId="0" fontId="218" fillId="24" borderId="72" xfId="3" applyFont="1" applyFill="1" applyBorder="1" applyAlignment="1">
      <alignment horizontal="center"/>
    </xf>
    <xf numFmtId="0" fontId="221" fillId="0" borderId="73" xfId="3" applyFont="1" applyBorder="1" applyAlignment="1">
      <alignment horizontal="left"/>
    </xf>
    <xf numFmtId="0" fontId="218" fillId="24" borderId="75" xfId="3" applyFont="1" applyFill="1" applyBorder="1" applyAlignment="1">
      <alignment horizontal="center"/>
    </xf>
    <xf numFmtId="164" fontId="216" fillId="24" borderId="151" xfId="3" applyNumberFormat="1" applyFont="1" applyFill="1" applyBorder="1" applyAlignment="1">
      <alignment horizontal="center"/>
    </xf>
    <xf numFmtId="164" fontId="216" fillId="24" borderId="114" xfId="3" applyNumberFormat="1" applyFont="1" applyFill="1" applyBorder="1" applyAlignment="1">
      <alignment horizontal="center"/>
    </xf>
    <xf numFmtId="0" fontId="221" fillId="0" borderId="135" xfId="3" applyFont="1" applyBorder="1" applyAlignment="1">
      <alignment horizontal="center" vertical="center"/>
    </xf>
    <xf numFmtId="0" fontId="218" fillId="24" borderId="110" xfId="3" applyFont="1" applyFill="1" applyBorder="1" applyAlignment="1">
      <alignment horizontal="center"/>
    </xf>
    <xf numFmtId="0" fontId="221" fillId="0" borderId="153" xfId="3" applyFont="1" applyBorder="1" applyAlignment="1">
      <alignment horizontal="center"/>
    </xf>
    <xf numFmtId="0" fontId="182" fillId="0" borderId="110" xfId="3" applyFont="1" applyBorder="1"/>
    <xf numFmtId="0" fontId="182" fillId="0" borderId="111" xfId="3" applyFont="1" applyBorder="1"/>
    <xf numFmtId="0" fontId="182" fillId="0" borderId="113" xfId="3" applyFont="1" applyBorder="1"/>
    <xf numFmtId="0" fontId="182" fillId="0" borderId="89" xfId="3" applyFont="1" applyBorder="1"/>
    <xf numFmtId="187" fontId="152" fillId="24" borderId="76" xfId="3" applyNumberFormat="1" applyFont="1" applyFill="1" applyBorder="1" applyAlignment="1">
      <alignment horizontal="center"/>
    </xf>
    <xf numFmtId="0" fontId="220" fillId="41" borderId="45" xfId="3" applyFont="1" applyFill="1" applyBorder="1" applyAlignment="1">
      <alignment horizontal="center" vertical="center"/>
    </xf>
    <xf numFmtId="187" fontId="152" fillId="24" borderId="152" xfId="3" applyNumberFormat="1" applyFont="1" applyFill="1" applyBorder="1" applyAlignment="1">
      <alignment horizontal="center" vertical="top"/>
    </xf>
    <xf numFmtId="187" fontId="152" fillId="24" borderId="112" xfId="3" applyNumberFormat="1" applyFont="1" applyFill="1" applyBorder="1" applyAlignment="1">
      <alignment horizontal="center" vertical="top"/>
    </xf>
    <xf numFmtId="0" fontId="149" fillId="57" borderId="0" xfId="3" applyFont="1" applyFill="1" applyAlignment="1">
      <alignment horizontal="center" vertical="center"/>
    </xf>
    <xf numFmtId="0" fontId="154" fillId="57" borderId="138" xfId="3" applyFont="1" applyFill="1" applyBorder="1" applyAlignment="1">
      <alignment horizontal="center" vertical="center"/>
    </xf>
    <xf numFmtId="0" fontId="154" fillId="58" borderId="138" xfId="3" applyFont="1" applyFill="1" applyBorder="1" applyAlignment="1">
      <alignment horizontal="center" vertical="center"/>
    </xf>
    <xf numFmtId="0" fontId="149" fillId="58" borderId="0" xfId="3" applyFont="1" applyFill="1" applyAlignment="1">
      <alignment horizontal="center" vertical="center"/>
    </xf>
    <xf numFmtId="0" fontId="31" fillId="53" borderId="138" xfId="3" applyFont="1" applyFill="1" applyBorder="1" applyAlignment="1">
      <alignment horizontal="center" vertical="center"/>
    </xf>
    <xf numFmtId="0" fontId="149" fillId="16" borderId="163" xfId="0" applyFont="1" applyFill="1" applyBorder="1" applyAlignment="1">
      <alignment horizontal="center" vertical="center"/>
    </xf>
    <xf numFmtId="0" fontId="149" fillId="16" borderId="138" xfId="0" applyFont="1" applyFill="1" applyBorder="1" applyAlignment="1">
      <alignment horizontal="center" vertical="center"/>
    </xf>
    <xf numFmtId="0" fontId="31" fillId="58" borderId="163" xfId="3" applyFont="1" applyFill="1" applyBorder="1" applyAlignment="1">
      <alignment horizontal="center" vertical="center"/>
    </xf>
    <xf numFmtId="0" fontId="31" fillId="27" borderId="163" xfId="3" applyFont="1" applyFill="1" applyBorder="1" applyAlignment="1">
      <alignment horizontal="left" vertical="center"/>
    </xf>
    <xf numFmtId="0" fontId="31" fillId="52" borderId="163" xfId="3" applyFont="1" applyFill="1" applyBorder="1" applyAlignment="1">
      <alignment horizontal="center" vertical="center"/>
    </xf>
    <xf numFmtId="0" fontId="7" fillId="59" borderId="163" xfId="3" applyFont="1" applyFill="1" applyBorder="1" applyAlignment="1">
      <alignment horizontal="center" vertical="center"/>
    </xf>
    <xf numFmtId="0" fontId="35" fillId="5" borderId="163" xfId="7" applyFont="1" applyFill="1" applyBorder="1" applyAlignment="1">
      <alignment horizontal="center" vertical="center"/>
    </xf>
    <xf numFmtId="0" fontId="154" fillId="56" borderId="163" xfId="3" applyFont="1" applyFill="1" applyBorder="1" applyAlignment="1">
      <alignment horizontal="center" vertical="center"/>
    </xf>
    <xf numFmtId="0" fontId="156" fillId="18" borderId="163" xfId="3" applyFont="1" applyFill="1" applyBorder="1" applyAlignment="1">
      <alignment horizontal="center" vertical="center"/>
    </xf>
    <xf numFmtId="170" fontId="31" fillId="9" borderId="43" xfId="3" applyNumberFormat="1" applyFont="1" applyFill="1" applyBorder="1" applyAlignment="1">
      <alignment horizontal="center" vertical="center"/>
    </xf>
    <xf numFmtId="0" fontId="225" fillId="0" borderId="141" xfId="3" applyFont="1" applyBorder="1" applyAlignment="1">
      <alignment horizontal="center" vertical="center"/>
    </xf>
    <xf numFmtId="170" fontId="31" fillId="10" borderId="144" xfId="3" applyNumberFormat="1" applyFont="1" applyFill="1" applyBorder="1" applyAlignment="1">
      <alignment horizontal="center" vertical="center"/>
    </xf>
    <xf numFmtId="0" fontId="224" fillId="10" borderId="118" xfId="3" applyFont="1" applyFill="1" applyBorder="1" applyAlignment="1">
      <alignment horizontal="center" vertical="center"/>
    </xf>
    <xf numFmtId="0" fontId="224" fillId="9" borderId="118" xfId="3" applyFont="1" applyFill="1" applyBorder="1" applyAlignment="1">
      <alignment horizontal="center" vertical="center"/>
    </xf>
    <xf numFmtId="170" fontId="31" fillId="9" borderId="144" xfId="3" applyNumberFormat="1" applyFont="1" applyFill="1" applyBorder="1" applyAlignment="1">
      <alignment horizontal="center" vertical="center"/>
    </xf>
    <xf numFmtId="170" fontId="31" fillId="9" borderId="100" xfId="3" applyNumberFormat="1" applyFont="1" applyFill="1" applyBorder="1" applyAlignment="1">
      <alignment horizontal="center" vertical="center"/>
    </xf>
    <xf numFmtId="0" fontId="30" fillId="4" borderId="0" xfId="3" applyFont="1" applyFill="1"/>
    <xf numFmtId="0" fontId="30" fillId="4" borderId="0" xfId="3" applyFont="1" applyFill="1" applyAlignment="1">
      <alignment horizontal="left" vertical="center"/>
    </xf>
    <xf numFmtId="0" fontId="30" fillId="4" borderId="0" xfId="31" applyFont="1" applyFill="1"/>
    <xf numFmtId="0" fontId="31" fillId="4" borderId="0" xfId="31" applyFont="1" applyFill="1"/>
    <xf numFmtId="0" fontId="218" fillId="24" borderId="162" xfId="3" applyFont="1" applyFill="1" applyBorder="1" applyAlignment="1">
      <alignment horizontal="center" vertical="center"/>
    </xf>
    <xf numFmtId="0" fontId="218" fillId="4" borderId="133" xfId="3" applyFont="1" applyFill="1" applyBorder="1" applyAlignment="1">
      <alignment horizontal="center" vertical="center"/>
    </xf>
    <xf numFmtId="0" fontId="152" fillId="4" borderId="135" xfId="3" applyFont="1" applyFill="1" applyBorder="1" applyAlignment="1">
      <alignment horizontal="center"/>
    </xf>
    <xf numFmtId="0" fontId="221" fillId="4" borderId="136" xfId="3" applyFont="1" applyFill="1" applyBorder="1" applyAlignment="1">
      <alignment horizontal="center" vertical="center"/>
    </xf>
    <xf numFmtId="0" fontId="202" fillId="4" borderId="0" xfId="29" applyFont="1" applyFill="1" applyAlignment="1">
      <alignment vertical="center"/>
    </xf>
    <xf numFmtId="0" fontId="154" fillId="57" borderId="163" xfId="3" applyFont="1" applyFill="1" applyBorder="1" applyAlignment="1">
      <alignment horizontal="center" vertical="center"/>
    </xf>
    <xf numFmtId="0" fontId="154" fillId="56" borderId="92" xfId="3" applyFont="1" applyFill="1" applyBorder="1" applyAlignment="1">
      <alignment horizontal="center" vertical="center"/>
    </xf>
    <xf numFmtId="0" fontId="30" fillId="0" borderId="0" xfId="3" applyFont="1" applyBorder="1"/>
    <xf numFmtId="0" fontId="149" fillId="56" borderId="0" xfId="3" applyFont="1" applyFill="1" applyBorder="1" applyAlignment="1">
      <alignment horizontal="center" vertical="center"/>
    </xf>
    <xf numFmtId="0" fontId="156" fillId="18" borderId="93" xfId="3" applyFont="1" applyFill="1" applyBorder="1" applyAlignment="1">
      <alignment horizontal="center" vertical="center"/>
    </xf>
    <xf numFmtId="0" fontId="42" fillId="7" borderId="117" xfId="3" applyFont="1" applyFill="1" applyBorder="1" applyAlignment="1">
      <alignment horizontal="center" vertical="center"/>
    </xf>
    <xf numFmtId="0" fontId="7" fillId="59" borderId="138" xfId="3" applyFont="1" applyFill="1" applyBorder="1" applyAlignment="1">
      <alignment horizontal="center" vertical="center"/>
    </xf>
    <xf numFmtId="0" fontId="42" fillId="59" borderId="0" xfId="3" applyFont="1" applyFill="1" applyAlignment="1">
      <alignment horizontal="center" vertical="center"/>
    </xf>
    <xf numFmtId="0" fontId="14" fillId="4" borderId="0" xfId="4" applyFont="1" applyFill="1" applyBorder="1" applyAlignment="1">
      <alignment vertical="center"/>
    </xf>
    <xf numFmtId="0" fontId="191" fillId="4" borderId="0" xfId="3" applyFont="1" applyFill="1"/>
    <xf numFmtId="0" fontId="149" fillId="4" borderId="0" xfId="3" applyFont="1" applyFill="1"/>
    <xf numFmtId="0" fontId="154" fillId="4" borderId="0" xfId="3" applyFont="1" applyFill="1"/>
    <xf numFmtId="0" fontId="227" fillId="4" borderId="0" xfId="3" applyFont="1" applyFill="1"/>
    <xf numFmtId="0" fontId="191" fillId="4" borderId="0" xfId="4" applyFont="1" applyFill="1" applyAlignment="1">
      <alignment horizontal="center"/>
    </xf>
    <xf numFmtId="170" fontId="191" fillId="4" borderId="0" xfId="4" applyNumberFormat="1" applyFont="1" applyFill="1" applyAlignment="1">
      <alignment horizontal="center" vertical="center"/>
    </xf>
    <xf numFmtId="170" fontId="154" fillId="4" borderId="0" xfId="4" applyNumberFormat="1" applyFont="1" applyFill="1" applyAlignment="1">
      <alignment horizontal="left" vertical="center"/>
    </xf>
    <xf numFmtId="0" fontId="154" fillId="4" borderId="0" xfId="4" applyFont="1" applyFill="1" applyAlignment="1">
      <alignment horizontal="center"/>
    </xf>
    <xf numFmtId="170" fontId="154" fillId="4" borderId="0" xfId="4" applyNumberFormat="1" applyFont="1" applyFill="1" applyAlignment="1" applyProtection="1">
      <alignment horizontal="center" vertical="center"/>
      <protection locked="0"/>
    </xf>
    <xf numFmtId="0" fontId="154" fillId="0" borderId="0" xfId="4" applyFont="1" applyAlignment="1">
      <alignment horizontal="center"/>
    </xf>
    <xf numFmtId="170" fontId="154" fillId="4" borderId="0" xfId="4" applyNumberFormat="1" applyFont="1" applyFill="1" applyAlignment="1">
      <alignment horizontal="right" vertical="center"/>
    </xf>
    <xf numFmtId="0" fontId="154" fillId="4" borderId="0" xfId="4" applyFont="1" applyFill="1" applyAlignment="1">
      <alignment horizontal="left" vertical="center"/>
    </xf>
    <xf numFmtId="1" fontId="154" fillId="4" borderId="0" xfId="4" applyNumberFormat="1" applyFont="1" applyFill="1" applyAlignment="1" applyProtection="1">
      <alignment horizontal="center" vertical="center" wrapText="1"/>
      <protection locked="0"/>
    </xf>
    <xf numFmtId="0" fontId="26" fillId="4" borderId="0" xfId="0" applyFont="1" applyFill="1" applyAlignment="1"/>
    <xf numFmtId="0" fontId="0" fillId="0" borderId="0" xfId="0" applyFont="1"/>
    <xf numFmtId="0" fontId="0" fillId="2" borderId="2" xfId="0" applyFont="1" applyFill="1" applyBorder="1" applyAlignment="1">
      <alignment horizontal="center" vertical="center"/>
    </xf>
    <xf numFmtId="0" fontId="31" fillId="2" borderId="3" xfId="13" applyNumberFormat="1" applyFont="1" applyFill="1" applyBorder="1" applyAlignment="1">
      <alignment vertical="center"/>
    </xf>
    <xf numFmtId="0" fontId="0" fillId="0" borderId="2" xfId="0" applyFont="1" applyBorder="1" applyAlignment="1">
      <alignment horizontal="center" vertical="center"/>
    </xf>
    <xf numFmtId="0" fontId="35" fillId="5" borderId="163" xfId="13" applyNumberFormat="1" applyFont="1" applyFill="1" applyBorder="1" applyAlignment="1">
      <alignment horizontal="center" vertical="center"/>
    </xf>
    <xf numFmtId="0" fontId="120" fillId="37" borderId="163" xfId="13" applyNumberFormat="1" applyFont="1" applyFill="1" applyBorder="1" applyAlignment="1">
      <alignment horizontal="center" vertical="center"/>
    </xf>
    <xf numFmtId="0" fontId="117" fillId="38" borderId="163" xfId="13" applyNumberFormat="1" applyFont="1" applyFill="1" applyBorder="1" applyAlignment="1">
      <alignment horizontal="center" vertical="center"/>
    </xf>
    <xf numFmtId="0" fontId="120" fillId="28" borderId="163" xfId="13" applyNumberFormat="1" applyFont="1" applyFill="1" applyBorder="1" applyAlignment="1">
      <alignment horizontal="center" vertical="center"/>
    </xf>
    <xf numFmtId="0" fontId="119" fillId="28" borderId="163" xfId="13" applyNumberFormat="1" applyFont="1" applyFill="1" applyBorder="1" applyAlignment="1">
      <alignment horizontal="center" vertical="center"/>
    </xf>
    <xf numFmtId="0" fontId="121" fillId="34" borderId="163" xfId="13" applyNumberFormat="1" applyFont="1" applyFill="1" applyBorder="1" applyAlignment="1">
      <alignment horizontal="center" vertical="center"/>
    </xf>
    <xf numFmtId="49" fontId="120" fillId="14" borderId="163" xfId="13" applyNumberFormat="1" applyFont="1" applyFill="1" applyBorder="1" applyAlignment="1">
      <alignment horizontal="center" vertical="center"/>
    </xf>
    <xf numFmtId="0" fontId="174" fillId="15" borderId="163" xfId="13" applyNumberFormat="1" applyFont="1" applyFill="1" applyBorder="1" applyAlignment="1">
      <alignment horizontal="center" vertical="center"/>
    </xf>
    <xf numFmtId="0" fontId="229" fillId="20" borderId="163" xfId="13" applyNumberFormat="1" applyFont="1" applyFill="1" applyBorder="1" applyAlignment="1">
      <alignment horizontal="center" vertical="center"/>
    </xf>
    <xf numFmtId="0" fontId="31" fillId="0" borderId="3" xfId="13" applyNumberFormat="1" applyFont="1" applyBorder="1" applyAlignment="1">
      <alignment vertical="center"/>
    </xf>
    <xf numFmtId="0" fontId="31" fillId="0" borderId="3" xfId="13" applyNumberFormat="1" applyFont="1" applyBorder="1" applyAlignment="1">
      <alignment horizontal="left" vertical="center"/>
    </xf>
    <xf numFmtId="0" fontId="14" fillId="4" borderId="0" xfId="4" applyFont="1" applyFill="1" applyAlignment="1">
      <alignment horizontal="center" vertical="center" wrapText="1"/>
    </xf>
    <xf numFmtId="0" fontId="7" fillId="16" borderId="21" xfId="0" applyFont="1" applyFill="1" applyBorder="1" applyAlignment="1">
      <alignment horizontal="center" vertical="center"/>
    </xf>
    <xf numFmtId="0" fontId="7" fillId="60" borderId="2" xfId="0" applyFont="1" applyFill="1" applyBorder="1" applyAlignment="1">
      <alignment vertical="center"/>
    </xf>
    <xf numFmtId="49" fontId="31" fillId="14" borderId="165" xfId="13" applyNumberFormat="1" applyFont="1" applyFill="1" applyBorder="1" applyAlignment="1">
      <alignment horizontal="center" vertical="center"/>
    </xf>
    <xf numFmtId="0" fontId="14" fillId="9" borderId="0" xfId="0" applyFont="1" applyFill="1" applyAlignment="1">
      <alignment vertical="center"/>
    </xf>
    <xf numFmtId="0" fontId="167" fillId="9" borderId="0" xfId="0" applyFont="1" applyFill="1" applyAlignment="1">
      <alignment horizontal="center" vertical="center"/>
    </xf>
    <xf numFmtId="0" fontId="230" fillId="4" borderId="0" xfId="0" applyFont="1" applyFill="1" applyAlignment="1">
      <alignment vertical="center"/>
    </xf>
    <xf numFmtId="0" fontId="7" fillId="60" borderId="1" xfId="0" applyFont="1" applyFill="1" applyBorder="1" applyAlignment="1">
      <alignment vertical="center"/>
    </xf>
    <xf numFmtId="0" fontId="0" fillId="0" borderId="2" xfId="0" applyFont="1" applyBorder="1" applyAlignment="1">
      <alignment vertical="center"/>
    </xf>
    <xf numFmtId="0" fontId="2" fillId="4" borderId="0" xfId="0" applyFont="1" applyFill="1" applyBorder="1" applyAlignment="1">
      <alignment vertical="center"/>
    </xf>
    <xf numFmtId="0" fontId="232" fillId="4" borderId="0" xfId="0" applyFont="1" applyFill="1" applyAlignment="1">
      <alignment horizontal="right" vertical="center"/>
    </xf>
    <xf numFmtId="0" fontId="232" fillId="4" borderId="0" xfId="0" applyFont="1" applyFill="1" applyAlignment="1">
      <alignment vertical="center"/>
    </xf>
    <xf numFmtId="0" fontId="231" fillId="4" borderId="0" xfId="0" applyFont="1" applyFill="1" applyAlignment="1">
      <alignment horizontal="right" vertical="center"/>
    </xf>
    <xf numFmtId="0" fontId="8" fillId="4" borderId="0" xfId="0" applyFont="1" applyFill="1" applyAlignment="1">
      <alignment vertical="center"/>
    </xf>
    <xf numFmtId="0" fontId="15" fillId="4" borderId="0" xfId="0" applyFont="1" applyFill="1" applyAlignment="1">
      <alignment vertical="center"/>
    </xf>
    <xf numFmtId="0" fontId="130" fillId="4" borderId="0" xfId="0" applyFont="1" applyFill="1" applyAlignment="1">
      <alignment vertical="center"/>
    </xf>
    <xf numFmtId="0" fontId="7" fillId="60" borderId="168" xfId="0" applyFont="1" applyFill="1" applyBorder="1" applyAlignment="1">
      <alignment horizontal="center" vertical="center"/>
    </xf>
    <xf numFmtId="0" fontId="31" fillId="4" borderId="167" xfId="13" applyNumberFormat="1" applyFont="1" applyFill="1" applyBorder="1" applyAlignment="1">
      <alignment vertical="center"/>
    </xf>
    <xf numFmtId="0" fontId="8" fillId="6" borderId="3" xfId="0" applyFont="1" applyFill="1" applyBorder="1" applyAlignment="1">
      <alignment horizontal="center" vertical="center"/>
    </xf>
    <xf numFmtId="0" fontId="31" fillId="34" borderId="165" xfId="13" applyNumberFormat="1" applyFont="1" applyFill="1" applyBorder="1" applyAlignment="1">
      <alignment horizontal="center" vertical="center"/>
    </xf>
    <xf numFmtId="0" fontId="31" fillId="37" borderId="165" xfId="13" applyNumberFormat="1" applyFont="1" applyFill="1" applyBorder="1" applyAlignment="1">
      <alignment horizontal="center" vertical="center"/>
    </xf>
    <xf numFmtId="0" fontId="124" fillId="38" borderId="165" xfId="13" applyNumberFormat="1" applyFont="1" applyFill="1" applyBorder="1" applyAlignment="1">
      <alignment horizontal="center" vertical="center"/>
    </xf>
    <xf numFmtId="0" fontId="7" fillId="8" borderId="165" xfId="13" applyNumberFormat="1" applyFont="1" applyFill="1" applyBorder="1" applyAlignment="1">
      <alignment horizontal="center" vertical="center"/>
    </xf>
    <xf numFmtId="0" fontId="7" fillId="20" borderId="165" xfId="13" applyNumberFormat="1" applyFont="1" applyFill="1" applyBorder="1" applyAlignment="1">
      <alignment horizontal="center" vertical="center"/>
    </xf>
    <xf numFmtId="0" fontId="10" fillId="4" borderId="0" xfId="0" applyFont="1" applyFill="1"/>
    <xf numFmtId="167" fontId="8" fillId="0" borderId="0" xfId="0" applyNumberFormat="1" applyFont="1" applyAlignment="1">
      <alignment horizontal="left" vertical="center"/>
    </xf>
    <xf numFmtId="0" fontId="8" fillId="6" borderId="0" xfId="0" applyFont="1" applyFill="1" applyBorder="1" applyAlignment="1">
      <alignment horizontal="center" vertical="center"/>
    </xf>
    <xf numFmtId="0" fontId="31" fillId="34" borderId="0" xfId="13" applyNumberFormat="1" applyFont="1" applyFill="1" applyBorder="1" applyAlignment="1">
      <alignment horizontal="center" vertical="center"/>
    </xf>
    <xf numFmtId="49" fontId="31" fillId="14" borderId="0" xfId="13" applyNumberFormat="1" applyFont="1" applyFill="1" applyBorder="1" applyAlignment="1">
      <alignment horizontal="center" vertical="center"/>
    </xf>
    <xf numFmtId="49" fontId="31" fillId="14" borderId="169" xfId="13" applyNumberFormat="1" applyFont="1" applyFill="1" applyBorder="1" applyAlignment="1">
      <alignment horizontal="center" vertical="center"/>
    </xf>
    <xf numFmtId="0" fontId="8" fillId="6" borderId="171" xfId="0" applyFont="1" applyFill="1" applyBorder="1" applyAlignment="1">
      <alignment horizontal="center" vertical="center"/>
    </xf>
    <xf numFmtId="49" fontId="31" fillId="14" borderId="173" xfId="13" applyNumberFormat="1" applyFont="1" applyFill="1" applyBorder="1" applyAlignment="1">
      <alignment horizontal="center" vertical="center"/>
    </xf>
    <xf numFmtId="165" fontId="16" fillId="9" borderId="170" xfId="0" applyNumberFormat="1" applyFont="1" applyFill="1" applyBorder="1" applyAlignment="1">
      <alignment horizontal="center" vertical="center" textRotation="90"/>
    </xf>
    <xf numFmtId="0" fontId="0" fillId="0" borderId="133" xfId="0" applyBorder="1" applyAlignment="1">
      <alignment horizontal="center" vertical="center"/>
    </xf>
    <xf numFmtId="164" fontId="0" fillId="4" borderId="133" xfId="0" applyNumberFormat="1" applyFill="1" applyBorder="1" applyAlignment="1">
      <alignment horizontal="center" vertical="center"/>
    </xf>
    <xf numFmtId="0" fontId="0" fillId="0" borderId="172" xfId="0" applyBorder="1" applyAlignment="1">
      <alignment horizontal="center" vertical="center"/>
    </xf>
    <xf numFmtId="0" fontId="0" fillId="0" borderId="174" xfId="0" applyBorder="1" applyAlignment="1">
      <alignment horizontal="center" vertical="center"/>
    </xf>
    <xf numFmtId="0" fontId="14" fillId="10" borderId="175" xfId="0" applyFont="1" applyFill="1" applyBorder="1" applyAlignment="1">
      <alignment horizontal="center" vertical="center"/>
    </xf>
    <xf numFmtId="0" fontId="14" fillId="10" borderId="166" xfId="0" applyFont="1" applyFill="1" applyBorder="1" applyAlignment="1">
      <alignment horizontal="center" vertical="center"/>
    </xf>
    <xf numFmtId="0" fontId="14" fillId="10" borderId="176" xfId="0" applyFont="1" applyFill="1" applyBorder="1" applyAlignment="1">
      <alignment horizontal="center" vertical="center"/>
    </xf>
    <xf numFmtId="0" fontId="0" fillId="4" borderId="170" xfId="0" applyFill="1" applyBorder="1"/>
    <xf numFmtId="0" fontId="0" fillId="10" borderId="170" xfId="0" applyFill="1" applyBorder="1"/>
    <xf numFmtId="0" fontId="0" fillId="10" borderId="0" xfId="0" applyFill="1"/>
    <xf numFmtId="0" fontId="7" fillId="8" borderId="173" xfId="13" applyNumberFormat="1" applyFont="1" applyFill="1" applyBorder="1" applyAlignment="1">
      <alignment horizontal="center" vertical="center"/>
    </xf>
    <xf numFmtId="0" fontId="31" fillId="56" borderId="179" xfId="13" applyNumberFormat="1" applyFont="1" applyFill="1" applyBorder="1" applyAlignment="1">
      <alignment horizontal="center" vertical="center"/>
    </xf>
    <xf numFmtId="0" fontId="124" fillId="59" borderId="133" xfId="13" applyNumberFormat="1" applyFont="1" applyFill="1" applyBorder="1" applyAlignment="1">
      <alignment horizontal="center" vertical="center"/>
    </xf>
    <xf numFmtId="0" fontId="7" fillId="8" borderId="172" xfId="13" applyNumberFormat="1" applyFont="1" applyFill="1" applyBorder="1" applyAlignment="1">
      <alignment horizontal="center" vertical="center"/>
    </xf>
    <xf numFmtId="0" fontId="14" fillId="10" borderId="177" xfId="0" applyFont="1" applyFill="1" applyBorder="1" applyAlignment="1">
      <alignment horizontal="center" vertical="center"/>
    </xf>
    <xf numFmtId="0" fontId="14" fillId="10" borderId="13" xfId="0" applyFont="1" applyFill="1" applyBorder="1" applyAlignment="1">
      <alignment horizontal="center" vertical="center"/>
    </xf>
    <xf numFmtId="0" fontId="14" fillId="10" borderId="178" xfId="0" applyFont="1" applyFill="1" applyBorder="1" applyAlignment="1">
      <alignment horizontal="center" vertical="center"/>
    </xf>
    <xf numFmtId="0" fontId="233" fillId="4" borderId="0" xfId="0" applyFont="1" applyFill="1" applyAlignment="1">
      <alignment horizontal="right" vertical="center"/>
    </xf>
    <xf numFmtId="0" fontId="233" fillId="4" borderId="0" xfId="0" applyFont="1" applyFill="1"/>
    <xf numFmtId="0" fontId="31" fillId="56" borderId="0" xfId="13" applyNumberFormat="1" applyFont="1" applyFill="1" applyBorder="1" applyAlignment="1">
      <alignment horizontal="center" vertical="center"/>
    </xf>
    <xf numFmtId="0" fontId="124" fillId="59" borderId="0" xfId="13" applyNumberFormat="1" applyFont="1" applyFill="1" applyBorder="1" applyAlignment="1">
      <alignment horizontal="center" vertical="center"/>
    </xf>
    <xf numFmtId="0" fontId="0" fillId="2" borderId="180" xfId="0" applyFont="1" applyFill="1" applyBorder="1" applyAlignment="1">
      <alignment horizontal="center" vertical="center"/>
    </xf>
    <xf numFmtId="0" fontId="14" fillId="10" borderId="0" xfId="0" applyFont="1" applyFill="1" applyBorder="1" applyAlignment="1">
      <alignment horizontal="center" vertical="center"/>
    </xf>
    <xf numFmtId="0" fontId="7" fillId="8" borderId="0" xfId="13" applyNumberFormat="1" applyFont="1" applyFill="1" applyBorder="1" applyAlignment="1">
      <alignment horizontal="center" vertical="center"/>
    </xf>
    <xf numFmtId="0" fontId="7" fillId="20" borderId="180" xfId="13" applyNumberFormat="1" applyFont="1" applyFill="1" applyBorder="1" applyAlignment="1">
      <alignment horizontal="center" vertical="center"/>
    </xf>
    <xf numFmtId="0" fontId="233" fillId="4" borderId="0" xfId="0" applyFont="1" applyFill="1" applyBorder="1" applyAlignment="1">
      <alignment vertical="center"/>
    </xf>
    <xf numFmtId="0" fontId="233" fillId="4" borderId="0" xfId="0" applyFont="1" applyFill="1" applyBorder="1" applyAlignment="1">
      <alignment horizontal="left" vertical="center"/>
    </xf>
    <xf numFmtId="0" fontId="233" fillId="0" borderId="0" xfId="0" applyFont="1" applyBorder="1" applyAlignment="1">
      <alignment vertical="center"/>
    </xf>
    <xf numFmtId="0" fontId="233" fillId="4" borderId="180" xfId="0" applyFont="1" applyFill="1" applyBorder="1" applyAlignment="1">
      <alignment vertical="center"/>
    </xf>
    <xf numFmtId="0" fontId="227" fillId="4" borderId="0" xfId="0" applyFont="1" applyFill="1" applyAlignment="1">
      <alignment vertical="center"/>
    </xf>
    <xf numFmtId="0" fontId="8" fillId="0" borderId="0" xfId="0" applyFont="1" applyAlignment="1">
      <alignment vertical="center"/>
    </xf>
    <xf numFmtId="0" fontId="26" fillId="4" borderId="0" xfId="0" applyFont="1" applyFill="1" applyAlignment="1">
      <alignment wrapText="1"/>
    </xf>
    <xf numFmtId="0" fontId="234" fillId="4" borderId="0" xfId="0" applyFont="1" applyFill="1"/>
    <xf numFmtId="170" fontId="131" fillId="4" borderId="0" xfId="4" applyNumberFormat="1" applyFont="1" applyFill="1" applyAlignment="1">
      <alignment horizontal="left" vertical="center"/>
    </xf>
    <xf numFmtId="0" fontId="0" fillId="9" borderId="172" xfId="0" applyFill="1" applyBorder="1"/>
    <xf numFmtId="0" fontId="0" fillId="9" borderId="180" xfId="0" applyFill="1" applyBorder="1"/>
    <xf numFmtId="0" fontId="7" fillId="8" borderId="133" xfId="13" applyNumberFormat="1" applyFont="1" applyFill="1" applyBorder="1" applyAlignment="1">
      <alignment horizontal="center" vertical="center"/>
    </xf>
    <xf numFmtId="14" fontId="8" fillId="4" borderId="0" xfId="0" applyNumberFormat="1" applyFont="1" applyFill="1" applyBorder="1" applyAlignment="1">
      <alignment vertical="center"/>
    </xf>
    <xf numFmtId="0" fontId="7" fillId="16" borderId="178" xfId="0" applyFont="1" applyFill="1" applyBorder="1" applyAlignment="1">
      <alignment horizontal="center" vertical="center"/>
    </xf>
    <xf numFmtId="0" fontId="31" fillId="4" borderId="0" xfId="4" applyFont="1" applyFill="1" applyAlignment="1">
      <alignment horizontal="center" vertical="center" wrapText="1"/>
    </xf>
    <xf numFmtId="0" fontId="27" fillId="0" borderId="72" xfId="27" applyFont="1" applyBorder="1" applyAlignment="1">
      <alignment horizontal="center" vertical="center"/>
    </xf>
    <xf numFmtId="0" fontId="27" fillId="0" borderId="0" xfId="27" applyFont="1" applyAlignment="1">
      <alignment horizontal="center" vertical="center"/>
    </xf>
    <xf numFmtId="0" fontId="7" fillId="16" borderId="173" xfId="0" applyFont="1" applyFill="1" applyBorder="1" applyAlignment="1">
      <alignment horizontal="center" vertical="center"/>
    </xf>
    <xf numFmtId="0" fontId="7" fillId="41" borderId="181" xfId="0" applyFont="1" applyFill="1" applyBorder="1" applyAlignment="1">
      <alignment horizontal="center" vertical="center"/>
    </xf>
    <xf numFmtId="0" fontId="7" fillId="16" borderId="181" xfId="0" applyFont="1" applyFill="1" applyBorder="1" applyAlignment="1">
      <alignment horizontal="center" vertical="center"/>
    </xf>
    <xf numFmtId="0" fontId="7" fillId="19" borderId="181" xfId="0" applyFont="1" applyFill="1" applyBorder="1" applyAlignment="1">
      <alignment horizontal="center" vertical="center"/>
    </xf>
    <xf numFmtId="0" fontId="7" fillId="17" borderId="181" xfId="0" applyFont="1" applyFill="1"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8" fillId="62" borderId="1" xfId="0" applyFont="1" applyFill="1" applyBorder="1"/>
    <xf numFmtId="0" fontId="8" fillId="0" borderId="1" xfId="0" applyFont="1" applyBorder="1"/>
    <xf numFmtId="0" fontId="0" fillId="0" borderId="115" xfId="0" applyBorder="1" applyAlignment="1">
      <alignment horizontal="center" vertical="center"/>
    </xf>
    <xf numFmtId="0" fontId="14" fillId="10" borderId="166" xfId="0" applyFont="1" applyFill="1" applyBorder="1" applyAlignment="1">
      <alignment horizontal="left" vertical="center"/>
    </xf>
    <xf numFmtId="0" fontId="8" fillId="0" borderId="189" xfId="0" applyFont="1" applyBorder="1"/>
    <xf numFmtId="0" fontId="7" fillId="16" borderId="180" xfId="0" applyFont="1" applyFill="1" applyBorder="1" applyAlignment="1">
      <alignment horizontal="center" vertical="center"/>
    </xf>
    <xf numFmtId="0" fontId="7" fillId="16" borderId="190" xfId="0" applyFont="1" applyFill="1" applyBorder="1" applyAlignment="1">
      <alignment horizontal="center" vertical="center"/>
    </xf>
    <xf numFmtId="0" fontId="7" fillId="41" borderId="182" xfId="0" applyFont="1" applyFill="1" applyBorder="1" applyAlignment="1">
      <alignment horizontal="center" vertical="center"/>
    </xf>
    <xf numFmtId="0" fontId="7" fillId="19" borderId="0" xfId="0" applyFont="1" applyFill="1" applyBorder="1" applyAlignment="1">
      <alignment horizontal="center" vertical="center"/>
    </xf>
    <xf numFmtId="0" fontId="14" fillId="42" borderId="0" xfId="13" applyNumberFormat="1" applyFont="1" applyFill="1" applyBorder="1" applyAlignment="1">
      <alignment horizontal="center" vertical="center"/>
    </xf>
    <xf numFmtId="0" fontId="8" fillId="6" borderId="176" xfId="0" applyFont="1" applyFill="1" applyBorder="1" applyAlignment="1">
      <alignment horizontal="center" vertical="center"/>
    </xf>
    <xf numFmtId="0" fontId="7" fillId="59" borderId="0" xfId="13" applyNumberFormat="1" applyFont="1" applyFill="1" applyBorder="1" applyAlignment="1">
      <alignment horizontal="center" vertical="center"/>
    </xf>
    <xf numFmtId="0" fontId="7" fillId="59" borderId="178" xfId="0" applyFont="1" applyFill="1" applyBorder="1" applyAlignment="1">
      <alignment horizontal="center" vertical="center"/>
    </xf>
    <xf numFmtId="0" fontId="14" fillId="61" borderId="63" xfId="0" applyFont="1" applyFill="1" applyBorder="1" applyAlignment="1">
      <alignment horizontal="center" vertical="center"/>
    </xf>
    <xf numFmtId="0" fontId="0" fillId="9" borderId="191" xfId="0" applyFill="1" applyBorder="1"/>
    <xf numFmtId="49" fontId="31" fillId="61" borderId="13" xfId="13" applyNumberFormat="1" applyFont="1" applyFill="1" applyBorder="1" applyAlignment="1">
      <alignment horizontal="center" vertical="center"/>
    </xf>
    <xf numFmtId="0" fontId="0" fillId="64" borderId="66" xfId="0" applyFill="1" applyBorder="1" applyAlignment="1">
      <alignment horizontal="center" vertical="center"/>
    </xf>
    <xf numFmtId="0" fontId="7" fillId="63" borderId="178" xfId="13" applyNumberFormat="1" applyFont="1" applyFill="1" applyBorder="1" applyAlignment="1">
      <alignment horizontal="center" vertical="center"/>
    </xf>
    <xf numFmtId="0" fontId="7" fillId="63" borderId="178" xfId="0" applyFont="1" applyFill="1" applyBorder="1" applyAlignment="1">
      <alignment horizontal="center" vertical="center"/>
    </xf>
    <xf numFmtId="0" fontId="240" fillId="4" borderId="0" xfId="34" applyFont="1" applyFill="1"/>
    <xf numFmtId="0" fontId="14" fillId="4" borderId="0" xfId="34" applyFont="1" applyFill="1"/>
    <xf numFmtId="0" fontId="14" fillId="4" borderId="0" xfId="34" applyFont="1" applyFill="1" applyAlignment="1">
      <alignment vertical="center"/>
    </xf>
    <xf numFmtId="0" fontId="182" fillId="4" borderId="0" xfId="29" applyFont="1" applyFill="1" applyAlignment="1">
      <alignment vertical="center"/>
    </xf>
    <xf numFmtId="0" fontId="0" fillId="4" borderId="0" xfId="0" applyFill="1" applyAlignment="1">
      <alignment horizontal="center" vertical="center"/>
    </xf>
    <xf numFmtId="0" fontId="241" fillId="4" borderId="0" xfId="34" applyFont="1" applyFill="1"/>
    <xf numFmtId="0" fontId="203" fillId="4" borderId="0" xfId="29" applyFont="1" applyFill="1" applyAlignment="1">
      <alignment horizontal="left" vertical="center"/>
    </xf>
    <xf numFmtId="0" fontId="242" fillId="4" borderId="0" xfId="29" applyFont="1" applyFill="1" applyAlignment="1">
      <alignment vertical="center"/>
    </xf>
    <xf numFmtId="0" fontId="30" fillId="4" borderId="0" xfId="33" applyFont="1" applyFill="1" applyAlignment="1" applyProtection="1">
      <alignment vertical="center"/>
      <protection locked="0"/>
    </xf>
    <xf numFmtId="0" fontId="149" fillId="4" borderId="0" xfId="34" applyFont="1" applyFill="1" applyAlignment="1">
      <alignment vertical="center"/>
    </xf>
    <xf numFmtId="0" fontId="2" fillId="4" borderId="0" xfId="0" applyFont="1" applyFill="1" applyAlignment="1">
      <alignment vertical="center"/>
    </xf>
    <xf numFmtId="0" fontId="5" fillId="4" borderId="0" xfId="0" applyFont="1" applyFill="1" applyAlignment="1">
      <alignment vertical="center"/>
    </xf>
    <xf numFmtId="0" fontId="243" fillId="24" borderId="36" xfId="3" applyFont="1" applyFill="1" applyBorder="1" applyAlignment="1">
      <alignment horizontal="left" vertical="top"/>
    </xf>
    <xf numFmtId="0" fontId="243" fillId="24" borderId="0" xfId="3" applyFont="1" applyFill="1" applyBorder="1" applyAlignment="1">
      <alignment horizontal="left" vertical="top"/>
    </xf>
    <xf numFmtId="0" fontId="149" fillId="16" borderId="0" xfId="0" applyFont="1" applyFill="1" applyBorder="1" applyAlignment="1">
      <alignment horizontal="center" vertical="center"/>
    </xf>
    <xf numFmtId="0" fontId="154" fillId="4" borderId="0" xfId="3" applyFont="1" applyFill="1" applyAlignment="1">
      <alignment horizontal="left" vertical="center"/>
    </xf>
    <xf numFmtId="0" fontId="32" fillId="24" borderId="0" xfId="3" applyFont="1" applyFill="1" applyBorder="1" applyAlignment="1">
      <alignment horizontal="center"/>
    </xf>
    <xf numFmtId="0" fontId="244" fillId="24" borderId="0" xfId="3" applyFont="1" applyFill="1" applyBorder="1" applyAlignment="1">
      <alignment horizontal="right"/>
    </xf>
    <xf numFmtId="0" fontId="245" fillId="4" borderId="0" xfId="0" applyFont="1" applyFill="1" applyAlignment="1">
      <alignment vertical="center"/>
    </xf>
    <xf numFmtId="0" fontId="152" fillId="24" borderId="0" xfId="3" applyFont="1" applyFill="1" applyBorder="1" applyAlignment="1">
      <alignment horizontal="left" vertical="center"/>
    </xf>
    <xf numFmtId="0" fontId="226" fillId="4" borderId="0" xfId="29" applyFont="1" applyFill="1" applyAlignment="1">
      <alignment vertical="center"/>
    </xf>
    <xf numFmtId="0" fontId="216" fillId="4" borderId="0" xfId="35" applyFont="1" applyFill="1"/>
    <xf numFmtId="0" fontId="30" fillId="0" borderId="0" xfId="7" applyFont="1" applyAlignment="1">
      <alignment horizontal="center"/>
    </xf>
    <xf numFmtId="0" fontId="249" fillId="15" borderId="0" xfId="0" applyFont="1" applyFill="1" applyAlignment="1">
      <alignment vertical="center"/>
    </xf>
    <xf numFmtId="0" fontId="154" fillId="4" borderId="0" xfId="7" applyFont="1" applyFill="1" applyAlignment="1">
      <alignment horizontal="center"/>
    </xf>
    <xf numFmtId="0" fontId="248" fillId="4" borderId="0" xfId="1" applyFont="1" applyFill="1" applyAlignment="1">
      <alignment horizontal="left"/>
    </xf>
    <xf numFmtId="0" fontId="154" fillId="4" borderId="0" xfId="7" applyFont="1" applyFill="1" applyAlignment="1">
      <alignment horizontal="left"/>
    </xf>
    <xf numFmtId="0" fontId="7" fillId="15" borderId="0" xfId="0" applyFont="1" applyFill="1" applyAlignment="1">
      <alignment horizontal="right" vertical="center"/>
    </xf>
    <xf numFmtId="0" fontId="209" fillId="15" borderId="0" xfId="0" applyFont="1" applyFill="1" applyAlignment="1">
      <alignment horizontal="center" vertical="center"/>
    </xf>
    <xf numFmtId="0" fontId="250" fillId="4" borderId="0" xfId="0" applyFont="1" applyFill="1" applyAlignment="1">
      <alignment horizontal="center" vertical="center"/>
    </xf>
    <xf numFmtId="0" fontId="29" fillId="4" borderId="0" xfId="1" applyFont="1" applyFill="1" applyAlignment="1">
      <alignment horizontal="left"/>
    </xf>
    <xf numFmtId="0" fontId="14" fillId="4" borderId="0" xfId="7" applyFont="1" applyFill="1" applyAlignment="1">
      <alignment horizontal="left"/>
    </xf>
    <xf numFmtId="0" fontId="30" fillId="0" borderId="0" xfId="7" applyFont="1" applyAlignment="1">
      <alignment vertical="center"/>
    </xf>
    <xf numFmtId="0" fontId="154" fillId="28" borderId="5" xfId="21" applyFont="1" applyFill="1" applyBorder="1" applyAlignment="1">
      <alignment horizontal="centerContinuous" vertical="center"/>
    </xf>
    <xf numFmtId="0" fontId="154" fillId="28" borderId="6" xfId="21" applyFont="1" applyFill="1" applyBorder="1" applyAlignment="1">
      <alignment horizontal="centerContinuous" vertical="center"/>
    </xf>
    <xf numFmtId="0" fontId="30" fillId="0" borderId="0" xfId="21" applyFont="1" applyAlignment="1">
      <alignment vertical="center"/>
    </xf>
    <xf numFmtId="0" fontId="14" fillId="4" borderId="23" xfId="7" applyFont="1" applyFill="1" applyBorder="1" applyAlignment="1">
      <alignment horizontal="centerContinuous" vertical="center"/>
    </xf>
    <xf numFmtId="0" fontId="14" fillId="4" borderId="198" xfId="7" applyFont="1" applyFill="1" applyBorder="1" applyAlignment="1">
      <alignment horizontal="centerContinuous" vertical="center"/>
    </xf>
    <xf numFmtId="170" fontId="151" fillId="4" borderId="0" xfId="7" applyNumberFormat="1" applyFont="1" applyFill="1" applyBorder="1" applyAlignment="1">
      <alignment horizontal="centerContinuous" vertical="center"/>
    </xf>
    <xf numFmtId="0" fontId="30" fillId="4" borderId="23" xfId="7" applyFont="1" applyFill="1" applyBorder="1" applyAlignment="1">
      <alignment horizontal="center"/>
    </xf>
    <xf numFmtId="0" fontId="30" fillId="4" borderId="198" xfId="7" applyFont="1" applyFill="1" applyBorder="1" applyAlignment="1">
      <alignment horizontal="center"/>
    </xf>
    <xf numFmtId="0" fontId="154" fillId="4" borderId="144" xfId="7" applyFont="1" applyFill="1" applyBorder="1" applyAlignment="1">
      <alignment horizontal="center" vertical="center" wrapText="1"/>
    </xf>
    <xf numFmtId="0" fontId="154" fillId="4" borderId="196" xfId="7" applyFont="1" applyFill="1" applyBorder="1" applyAlignment="1">
      <alignment horizontal="center" vertical="center" wrapText="1"/>
    </xf>
    <xf numFmtId="170" fontId="30" fillId="4" borderId="184" xfId="7" applyNumberFormat="1" applyFont="1" applyFill="1" applyBorder="1" applyAlignment="1">
      <alignment horizontal="center"/>
    </xf>
    <xf numFmtId="177" fontId="169" fillId="30" borderId="195" xfId="7" applyNumberFormat="1" applyFont="1" applyFill="1" applyBorder="1" applyAlignment="1">
      <alignment horizontal="center" vertical="center"/>
    </xf>
    <xf numFmtId="177" fontId="169" fillId="30" borderId="199" xfId="7" applyNumberFormat="1" applyFont="1" applyFill="1" applyBorder="1" applyAlignment="1">
      <alignment horizontal="center" vertical="center"/>
    </xf>
    <xf numFmtId="177" fontId="169" fillId="30" borderId="197" xfId="7" applyNumberFormat="1" applyFont="1" applyFill="1" applyBorder="1" applyAlignment="1">
      <alignment horizontal="center" vertical="center"/>
    </xf>
    <xf numFmtId="177" fontId="169" fillId="30" borderId="23" xfId="7" applyNumberFormat="1" applyFont="1" applyFill="1" applyBorder="1" applyAlignment="1">
      <alignment horizontal="center" vertical="center"/>
    </xf>
    <xf numFmtId="177" fontId="169" fillId="30" borderId="198" xfId="7" applyNumberFormat="1" applyFont="1" applyFill="1" applyBorder="1" applyAlignment="1">
      <alignment horizontal="center" vertical="center"/>
    </xf>
    <xf numFmtId="177" fontId="169" fillId="30" borderId="115" xfId="7" applyNumberFormat="1" applyFont="1" applyFill="1" applyBorder="1" applyAlignment="1">
      <alignment horizontal="center" vertical="center"/>
    </xf>
    <xf numFmtId="177" fontId="210" fillId="30" borderId="23" xfId="7" applyNumberFormat="1" applyFont="1" applyFill="1" applyBorder="1" applyAlignment="1">
      <alignment horizontal="center" vertical="center"/>
    </xf>
    <xf numFmtId="177" fontId="210" fillId="30" borderId="198" xfId="7" applyNumberFormat="1" applyFont="1" applyFill="1" applyBorder="1" applyAlignment="1">
      <alignment horizontal="center" vertical="center"/>
    </xf>
    <xf numFmtId="177" fontId="210" fillId="30" borderId="115" xfId="7" applyNumberFormat="1" applyFont="1" applyFill="1" applyBorder="1" applyAlignment="1">
      <alignment horizontal="center" vertical="center"/>
    </xf>
    <xf numFmtId="177" fontId="176" fillId="0" borderId="23" xfId="7" applyNumberFormat="1" applyFont="1" applyBorder="1" applyAlignment="1">
      <alignment horizontal="center" vertical="center"/>
    </xf>
    <xf numFmtId="177" fontId="176" fillId="0" borderId="198" xfId="7" applyNumberFormat="1" applyFont="1" applyBorder="1" applyAlignment="1">
      <alignment horizontal="center" vertical="center"/>
    </xf>
    <xf numFmtId="177" fontId="176" fillId="0" borderId="115" xfId="7" applyNumberFormat="1" applyFont="1" applyBorder="1" applyAlignment="1">
      <alignment horizontal="center" vertical="center"/>
    </xf>
    <xf numFmtId="177" fontId="256" fillId="30" borderId="23" xfId="7" applyNumberFormat="1" applyFont="1" applyFill="1" applyBorder="1" applyAlignment="1">
      <alignment horizontal="center" vertical="center"/>
    </xf>
    <xf numFmtId="177" fontId="256" fillId="30" borderId="198" xfId="7" applyNumberFormat="1" applyFont="1" applyFill="1" applyBorder="1" applyAlignment="1">
      <alignment horizontal="center" vertical="center"/>
    </xf>
    <xf numFmtId="177" fontId="256" fillId="30" borderId="115" xfId="7" applyNumberFormat="1" applyFont="1" applyFill="1" applyBorder="1" applyAlignment="1">
      <alignment horizontal="center" vertical="center"/>
    </xf>
    <xf numFmtId="170" fontId="257" fillId="0" borderId="23" xfId="7" applyNumberFormat="1" applyFont="1" applyBorder="1" applyAlignment="1">
      <alignment horizontal="center" vertical="center" wrapText="1"/>
    </xf>
    <xf numFmtId="170" fontId="257" fillId="0" borderId="198" xfId="7" applyNumberFormat="1" applyFont="1" applyBorder="1" applyAlignment="1">
      <alignment horizontal="center" vertical="center" wrapText="1"/>
    </xf>
    <xf numFmtId="170" fontId="257" fillId="0" borderId="115" xfId="7" applyNumberFormat="1" applyFont="1" applyBorder="1" applyAlignment="1">
      <alignment horizontal="center" vertical="center" wrapText="1"/>
    </xf>
    <xf numFmtId="170" fontId="210" fillId="30" borderId="23" xfId="7" applyNumberFormat="1" applyFont="1" applyFill="1" applyBorder="1" applyAlignment="1">
      <alignment horizontal="center" vertical="center" wrapText="1"/>
    </xf>
    <xf numFmtId="170" fontId="210" fillId="30" borderId="198" xfId="7" applyNumberFormat="1" applyFont="1" applyFill="1" applyBorder="1" applyAlignment="1">
      <alignment horizontal="center" vertical="center" wrapText="1"/>
    </xf>
    <xf numFmtId="170" fontId="210" fillId="30" borderId="115" xfId="7" applyNumberFormat="1" applyFont="1" applyFill="1" applyBorder="1" applyAlignment="1">
      <alignment horizontal="center" vertical="center" wrapText="1"/>
    </xf>
    <xf numFmtId="170" fontId="169" fillId="30" borderId="23" xfId="7" applyNumberFormat="1" applyFont="1" applyFill="1" applyBorder="1" applyAlignment="1">
      <alignment horizontal="center" vertical="center" wrapText="1"/>
    </xf>
    <xf numFmtId="170" fontId="169" fillId="30" borderId="198" xfId="7" applyNumberFormat="1" applyFont="1" applyFill="1" applyBorder="1" applyAlignment="1">
      <alignment horizontal="center" vertical="center" wrapText="1"/>
    </xf>
    <xf numFmtId="170" fontId="169" fillId="30" borderId="115" xfId="7" applyNumberFormat="1" applyFont="1" applyFill="1" applyBorder="1" applyAlignment="1">
      <alignment horizontal="center" vertical="center" wrapText="1"/>
    </xf>
    <xf numFmtId="170" fontId="176" fillId="0" borderId="23" xfId="7" applyNumberFormat="1" applyFont="1" applyBorder="1" applyAlignment="1">
      <alignment horizontal="center" vertical="center" wrapText="1"/>
    </xf>
    <xf numFmtId="170" fontId="176" fillId="0" borderId="198" xfId="7" applyNumberFormat="1" applyFont="1" applyBorder="1" applyAlignment="1">
      <alignment horizontal="center" vertical="center" wrapText="1"/>
    </xf>
    <xf numFmtId="170" fontId="176" fillId="0" borderId="115" xfId="7" applyNumberFormat="1" applyFont="1" applyBorder="1" applyAlignment="1">
      <alignment horizontal="center" vertical="center" wrapText="1"/>
    </xf>
    <xf numFmtId="178" fontId="215" fillId="5" borderId="23" xfId="7" applyNumberFormat="1" applyFont="1" applyFill="1" applyBorder="1" applyAlignment="1">
      <alignment horizontal="center" vertical="center"/>
    </xf>
    <xf numFmtId="178" fontId="215" fillId="5" borderId="198" xfId="7" applyNumberFormat="1" applyFont="1" applyFill="1" applyBorder="1" applyAlignment="1">
      <alignment horizontal="center" vertical="center"/>
    </xf>
    <xf numFmtId="178" fontId="215" fillId="5" borderId="115" xfId="7" applyNumberFormat="1" applyFont="1" applyFill="1" applyBorder="1" applyAlignment="1">
      <alignment horizontal="center" vertical="center"/>
    </xf>
    <xf numFmtId="177" fontId="167" fillId="0" borderId="23" xfId="7" applyNumberFormat="1" applyFont="1" applyBorder="1" applyAlignment="1">
      <alignment horizontal="center" vertical="center"/>
    </xf>
    <xf numFmtId="177" fontId="167" fillId="0" borderId="198" xfId="7" applyNumberFormat="1" applyFont="1" applyBorder="1" applyAlignment="1">
      <alignment horizontal="center" vertical="center"/>
    </xf>
    <xf numFmtId="177" fontId="167" fillId="0" borderId="115" xfId="7" applyNumberFormat="1" applyFont="1" applyBorder="1" applyAlignment="1">
      <alignment horizontal="center" vertical="center"/>
    </xf>
    <xf numFmtId="170" fontId="14" fillId="0" borderId="23" xfId="7" applyNumberFormat="1" applyFont="1" applyBorder="1" applyAlignment="1">
      <alignment horizontal="center" vertical="center" wrapText="1"/>
    </xf>
    <xf numFmtId="170" fontId="14" fillId="0" borderId="198" xfId="7" applyNumberFormat="1" applyFont="1" applyBorder="1" applyAlignment="1">
      <alignment horizontal="center" vertical="center" wrapText="1"/>
    </xf>
    <xf numFmtId="170" fontId="14" fillId="0" borderId="115" xfId="7" applyNumberFormat="1" applyFont="1" applyBorder="1" applyAlignment="1">
      <alignment horizontal="center" vertical="center" wrapText="1"/>
    </xf>
    <xf numFmtId="170" fontId="31" fillId="0" borderId="23" xfId="7" applyNumberFormat="1" applyFont="1" applyBorder="1" applyAlignment="1">
      <alignment horizontal="center" vertical="center" wrapText="1"/>
    </xf>
    <xf numFmtId="170" fontId="31" fillId="0" borderId="198" xfId="7" applyNumberFormat="1" applyFont="1" applyBorder="1" applyAlignment="1">
      <alignment horizontal="center" vertical="center" wrapText="1"/>
    </xf>
    <xf numFmtId="170" fontId="31" fillId="0" borderId="115" xfId="7" applyNumberFormat="1" applyFont="1" applyBorder="1" applyAlignment="1">
      <alignment horizontal="center" vertical="center" wrapText="1"/>
    </xf>
    <xf numFmtId="179" fontId="176" fillId="0" borderId="23" xfId="7" applyNumberFormat="1" applyFont="1" applyBorder="1" applyAlignment="1">
      <alignment horizontal="center" vertical="center" wrapText="1"/>
    </xf>
    <xf numFmtId="179" fontId="176" fillId="0" borderId="198" xfId="7" applyNumberFormat="1" applyFont="1" applyBorder="1" applyAlignment="1">
      <alignment horizontal="center" vertical="center" wrapText="1"/>
    </xf>
    <xf numFmtId="179" fontId="176" fillId="0" borderId="115" xfId="7" applyNumberFormat="1" applyFont="1" applyBorder="1" applyAlignment="1">
      <alignment horizontal="center" vertical="center" wrapText="1"/>
    </xf>
    <xf numFmtId="170" fontId="14" fillId="0" borderId="194" xfId="7" applyNumberFormat="1" applyFont="1" applyBorder="1" applyAlignment="1">
      <alignment horizontal="center" vertical="center" wrapText="1"/>
    </xf>
    <xf numFmtId="170" fontId="14" fillId="0" borderId="200" xfId="7" applyNumberFormat="1" applyFont="1" applyBorder="1" applyAlignment="1">
      <alignment horizontal="center" vertical="center" wrapText="1"/>
    </xf>
    <xf numFmtId="170" fontId="14" fillId="0" borderId="76" xfId="7" applyNumberFormat="1" applyFont="1" applyBorder="1" applyAlignment="1">
      <alignment horizontal="center" vertical="center" wrapText="1"/>
    </xf>
    <xf numFmtId="9" fontId="205" fillId="0" borderId="0" xfId="7" applyNumberFormat="1" applyFont="1" applyAlignment="1">
      <alignment horizontal="center" vertical="center" wrapText="1"/>
    </xf>
    <xf numFmtId="170" fontId="166" fillId="30" borderId="23" xfId="7" applyNumberFormat="1" applyFont="1" applyFill="1" applyBorder="1" applyAlignment="1">
      <alignment horizontal="center" vertical="center" wrapText="1"/>
    </xf>
    <xf numFmtId="170" fontId="166" fillId="30" borderId="198" xfId="7" applyNumberFormat="1" applyFont="1" applyFill="1" applyBorder="1" applyAlignment="1">
      <alignment horizontal="center" vertical="center" wrapText="1"/>
    </xf>
    <xf numFmtId="170" fontId="166" fillId="30" borderId="144" xfId="7" applyNumberFormat="1" applyFont="1" applyFill="1" applyBorder="1" applyAlignment="1">
      <alignment horizontal="center" vertical="center" wrapText="1"/>
    </xf>
    <xf numFmtId="170" fontId="166" fillId="30" borderId="196" xfId="7" applyNumberFormat="1" applyFont="1" applyFill="1" applyBorder="1" applyAlignment="1">
      <alignment horizontal="center" vertical="center" wrapText="1"/>
    </xf>
    <xf numFmtId="170" fontId="166" fillId="30" borderId="184" xfId="7" applyNumberFormat="1" applyFont="1" applyFill="1" applyBorder="1" applyAlignment="1">
      <alignment horizontal="center" vertical="center" wrapText="1"/>
    </xf>
    <xf numFmtId="170" fontId="30" fillId="0" borderId="23" xfId="7" applyNumberFormat="1" applyFont="1" applyBorder="1" applyAlignment="1">
      <alignment horizontal="center" vertical="center" wrapText="1"/>
    </xf>
    <xf numFmtId="170" fontId="30" fillId="0" borderId="198" xfId="7" applyNumberFormat="1" applyFont="1" applyBorder="1" applyAlignment="1">
      <alignment horizontal="center" vertical="center" wrapText="1"/>
    </xf>
    <xf numFmtId="170" fontId="30" fillId="0" borderId="0" xfId="7" applyNumberFormat="1" applyFont="1" applyAlignment="1">
      <alignment horizontal="center" vertical="center" wrapText="1"/>
    </xf>
    <xf numFmtId="170" fontId="30" fillId="0" borderId="144" xfId="7" applyNumberFormat="1" applyFont="1" applyBorder="1" applyAlignment="1">
      <alignment horizontal="center" vertical="center" wrapText="1"/>
    </xf>
    <xf numFmtId="170" fontId="30" fillId="0" borderId="196" xfId="7" applyNumberFormat="1" applyFont="1" applyBorder="1" applyAlignment="1">
      <alignment horizontal="center" vertical="center" wrapText="1"/>
    </xf>
    <xf numFmtId="170" fontId="30" fillId="0" borderId="184" xfId="7" applyNumberFormat="1" applyFont="1" applyBorder="1" applyAlignment="1">
      <alignment horizontal="center" vertical="center" wrapText="1"/>
    </xf>
    <xf numFmtId="1" fontId="30" fillId="0" borderId="0" xfId="7" applyNumberFormat="1" applyFont="1" applyAlignment="1">
      <alignment horizontal="center" vertical="center" wrapText="1"/>
    </xf>
    <xf numFmtId="0" fontId="154" fillId="4" borderId="4" xfId="21" applyFont="1" applyFill="1" applyBorder="1" applyAlignment="1">
      <alignment horizontal="left" vertical="center"/>
    </xf>
    <xf numFmtId="0" fontId="154" fillId="4" borderId="5" xfId="21" applyFont="1" applyFill="1" applyBorder="1" applyAlignment="1">
      <alignment horizontal="centerContinuous" vertical="center"/>
    </xf>
    <xf numFmtId="0" fontId="30" fillId="4" borderId="5" xfId="21" applyFont="1" applyFill="1" applyBorder="1" applyAlignment="1">
      <alignment horizontal="right" vertical="center"/>
    </xf>
    <xf numFmtId="0" fontId="154" fillId="4" borderId="5" xfId="21" applyFont="1" applyFill="1" applyBorder="1" applyAlignment="1">
      <alignment horizontal="center" vertical="center"/>
    </xf>
    <xf numFmtId="0" fontId="156" fillId="4" borderId="5" xfId="21" applyFont="1" applyFill="1" applyBorder="1" applyAlignment="1">
      <alignment horizontal="centerContinuous" vertical="center"/>
    </xf>
    <xf numFmtId="0" fontId="251" fillId="4" borderId="15" xfId="21" applyFont="1" applyFill="1" applyBorder="1" applyAlignment="1">
      <alignment horizontal="right" vertical="center"/>
    </xf>
    <xf numFmtId="0" fontId="251" fillId="4" borderId="0" xfId="21" applyFont="1" applyFill="1" applyAlignment="1">
      <alignment vertical="center"/>
    </xf>
    <xf numFmtId="0" fontId="252" fillId="4" borderId="0" xfId="21" applyFont="1" applyFill="1" applyAlignment="1">
      <alignment horizontal="center" vertical="center"/>
    </xf>
    <xf numFmtId="0" fontId="251" fillId="4" borderId="0" xfId="21" applyFont="1" applyFill="1" applyAlignment="1">
      <alignment horizontal="right" vertical="center"/>
    </xf>
    <xf numFmtId="0" fontId="251" fillId="4" borderId="0" xfId="21" applyFont="1" applyFill="1" applyAlignment="1">
      <alignment horizontal="center" vertical="center"/>
    </xf>
    <xf numFmtId="0" fontId="251" fillId="4" borderId="0" xfId="21" applyFont="1" applyFill="1" applyAlignment="1">
      <alignment horizontal="centerContinuous" vertical="center"/>
    </xf>
    <xf numFmtId="0" fontId="251" fillId="4" borderId="13" xfId="21" applyFont="1" applyFill="1" applyBorder="1" applyAlignment="1">
      <alignment horizontal="centerContinuous" vertical="center"/>
    </xf>
    <xf numFmtId="0" fontId="251" fillId="4" borderId="13" xfId="21" applyFont="1" applyFill="1" applyBorder="1" applyAlignment="1">
      <alignment horizontal="center" vertical="center"/>
    </xf>
    <xf numFmtId="0" fontId="254" fillId="4" borderId="13" xfId="21" applyFont="1" applyFill="1" applyBorder="1" applyAlignment="1">
      <alignment horizontal="center" vertical="center"/>
    </xf>
    <xf numFmtId="0" fontId="253" fillId="4" borderId="15" xfId="21" applyFont="1" applyFill="1" applyBorder="1" applyAlignment="1">
      <alignment horizontal="left" vertical="center"/>
    </xf>
    <xf numFmtId="0" fontId="188" fillId="4" borderId="15" xfId="21" applyFont="1" applyFill="1" applyBorder="1" applyAlignment="1">
      <alignment horizontal="left" vertical="center"/>
    </xf>
    <xf numFmtId="0" fontId="188" fillId="4" borderId="40" xfId="21" applyFont="1" applyFill="1" applyBorder="1" applyAlignment="1">
      <alignment horizontal="left" vertical="center"/>
    </xf>
    <xf numFmtId="0" fontId="154" fillId="4" borderId="0" xfId="21" applyFont="1" applyFill="1" applyAlignment="1">
      <alignment horizontal="centerContinuous" vertical="center"/>
    </xf>
    <xf numFmtId="0" fontId="151" fillId="4" borderId="0" xfId="21" applyFont="1" applyFill="1" applyAlignment="1">
      <alignment horizontal="centerContinuous" vertical="center"/>
    </xf>
    <xf numFmtId="0" fontId="30" fillId="4" borderId="13" xfId="21" applyFont="1" applyFill="1" applyBorder="1" applyAlignment="1">
      <alignment vertical="center"/>
    </xf>
    <xf numFmtId="0" fontId="151" fillId="4" borderId="10" xfId="21" applyFont="1" applyFill="1" applyBorder="1" applyAlignment="1">
      <alignment horizontal="centerContinuous" vertical="center"/>
    </xf>
    <xf numFmtId="0" fontId="151" fillId="4" borderId="10" xfId="21" applyFont="1" applyFill="1" applyBorder="1" applyAlignment="1">
      <alignment horizontal="center" vertical="center"/>
    </xf>
    <xf numFmtId="0" fontId="175" fillId="4" borderId="10" xfId="21" applyFont="1" applyFill="1" applyBorder="1" applyAlignment="1">
      <alignment horizontal="right" vertical="center"/>
    </xf>
    <xf numFmtId="0" fontId="30" fillId="4" borderId="41" xfId="21" applyFont="1" applyFill="1" applyBorder="1" applyAlignment="1">
      <alignment vertical="center"/>
    </xf>
    <xf numFmtId="0" fontId="30" fillId="4" borderId="0" xfId="22" applyFont="1" applyFill="1" applyAlignment="1">
      <alignment horizontal="centerContinuous" vertical="center" wrapText="1"/>
    </xf>
    <xf numFmtId="176" fontId="175" fillId="4" borderId="0" xfId="11" applyNumberFormat="1" applyFont="1" applyFill="1" applyAlignment="1">
      <alignment horizontal="right" vertical="center"/>
    </xf>
    <xf numFmtId="0" fontId="30" fillId="4" borderId="0" xfId="7" applyFont="1" applyFill="1" applyAlignment="1">
      <alignment horizontal="center"/>
    </xf>
    <xf numFmtId="9" fontId="205" fillId="4" borderId="0" xfId="7" applyNumberFormat="1" applyFont="1" applyFill="1" applyAlignment="1">
      <alignment horizontal="center" vertical="center" wrapText="1"/>
    </xf>
    <xf numFmtId="0" fontId="30" fillId="4" borderId="0" xfId="7" applyFont="1" applyFill="1" applyAlignment="1">
      <alignment vertical="center"/>
    </xf>
    <xf numFmtId="0" fontId="30" fillId="4" borderId="0" xfId="21" applyFont="1" applyFill="1" applyAlignment="1">
      <alignment vertical="center"/>
    </xf>
    <xf numFmtId="0" fontId="30" fillId="4" borderId="0" xfId="7" applyFont="1" applyFill="1" applyAlignment="1">
      <alignment horizontal="centerContinuous" vertical="center"/>
    </xf>
    <xf numFmtId="0" fontId="151" fillId="4" borderId="0" xfId="7" applyFont="1" applyFill="1" applyAlignment="1">
      <alignment horizontal="centerContinuous" vertical="center"/>
    </xf>
    <xf numFmtId="0" fontId="255" fillId="4" borderId="0" xfId="0" applyFont="1" applyFill="1" applyAlignment="1">
      <alignment horizontal="left" vertical="center"/>
    </xf>
    <xf numFmtId="0" fontId="1" fillId="4" borderId="0" xfId="1" applyFont="1" applyFill="1" applyAlignment="1">
      <alignment vertical="center"/>
    </xf>
    <xf numFmtId="0" fontId="1" fillId="4" borderId="0" xfId="1" applyFont="1" applyFill="1" applyAlignment="1">
      <alignment horizontal="left"/>
    </xf>
    <xf numFmtId="0" fontId="30" fillId="4" borderId="0" xfId="7" applyFont="1" applyFill="1" applyAlignment="1">
      <alignment horizontal="left"/>
    </xf>
    <xf numFmtId="176" fontId="31" fillId="4" borderId="75" xfId="11" applyNumberFormat="1" applyFont="1" applyFill="1" applyBorder="1" applyAlignment="1">
      <alignment horizontal="right" vertical="center"/>
    </xf>
    <xf numFmtId="0" fontId="30" fillId="4" borderId="76" xfId="7" applyFont="1" applyFill="1" applyBorder="1" applyAlignment="1">
      <alignment horizontal="center"/>
    </xf>
    <xf numFmtId="0" fontId="178" fillId="31" borderId="194" xfId="7" applyFont="1" applyFill="1" applyBorder="1" applyAlignment="1">
      <alignment horizontal="center" vertical="center"/>
    </xf>
    <xf numFmtId="0" fontId="14" fillId="4" borderId="166" xfId="7" applyFont="1" applyFill="1" applyBorder="1" applyAlignment="1">
      <alignment horizontal="center" vertical="center" wrapText="1"/>
    </xf>
    <xf numFmtId="0" fontId="30" fillId="4" borderId="0" xfId="7" applyFont="1" applyFill="1" applyBorder="1" applyAlignment="1">
      <alignment horizontal="center" vertical="center" wrapText="1"/>
    </xf>
    <xf numFmtId="170" fontId="30" fillId="4" borderId="0" xfId="7" applyNumberFormat="1" applyFont="1" applyFill="1" applyBorder="1" applyAlignment="1">
      <alignment horizontal="centerContinuous" vertical="center"/>
    </xf>
    <xf numFmtId="170" fontId="30" fillId="4" borderId="90" xfId="7" applyNumberFormat="1" applyFont="1" applyFill="1" applyBorder="1" applyAlignment="1">
      <alignment horizontal="centerContinuous" vertical="center"/>
    </xf>
    <xf numFmtId="170" fontId="35" fillId="4" borderId="166" xfId="7" applyNumberFormat="1" applyFont="1" applyFill="1" applyBorder="1" applyAlignment="1">
      <alignment horizontal="center" vertical="center"/>
    </xf>
    <xf numFmtId="9" fontId="30" fillId="4" borderId="0" xfId="7" applyNumberFormat="1" applyFont="1" applyFill="1" applyBorder="1" applyAlignment="1">
      <alignment horizontal="center" vertical="center" wrapText="1"/>
    </xf>
    <xf numFmtId="0" fontId="215" fillId="4" borderId="0" xfId="7" applyFont="1" applyFill="1" applyBorder="1" applyAlignment="1">
      <alignment horizontal="center"/>
    </xf>
    <xf numFmtId="0" fontId="215" fillId="4" borderId="164" xfId="7" applyFont="1" applyFill="1" applyBorder="1" applyAlignment="1">
      <alignment horizontal="center"/>
    </xf>
    <xf numFmtId="9" fontId="35" fillId="4" borderId="183" xfId="7" applyNumberFormat="1" applyFont="1" applyFill="1" applyBorder="1" applyAlignment="1">
      <alignment horizontal="center" vertical="center" wrapText="1"/>
    </xf>
    <xf numFmtId="9" fontId="30" fillId="4" borderId="184" xfId="7" applyNumberFormat="1" applyFont="1" applyFill="1" applyBorder="1" applyAlignment="1">
      <alignment horizontal="center" vertical="center" wrapText="1"/>
    </xf>
    <xf numFmtId="170" fontId="30" fillId="4" borderId="116" xfId="7" applyNumberFormat="1" applyFont="1" applyFill="1" applyBorder="1" applyAlignment="1">
      <alignment horizontal="center"/>
    </xf>
    <xf numFmtId="0" fontId="169" fillId="4" borderId="166" xfId="7" applyFont="1" applyFill="1" applyBorder="1" applyAlignment="1">
      <alignment horizontal="center" vertical="center" wrapText="1"/>
    </xf>
    <xf numFmtId="177" fontId="169" fillId="30" borderId="169" xfId="7" applyNumberFormat="1" applyFont="1" applyFill="1" applyBorder="1" applyAlignment="1">
      <alignment horizontal="center" vertical="center"/>
    </xf>
    <xf numFmtId="177" fontId="169" fillId="30" borderId="201" xfId="7" applyNumberFormat="1" applyFont="1" applyFill="1" applyBorder="1" applyAlignment="1">
      <alignment horizontal="center" vertical="center"/>
    </xf>
    <xf numFmtId="177" fontId="169" fillId="30" borderId="162" xfId="7" applyNumberFormat="1" applyFont="1" applyFill="1" applyBorder="1" applyAlignment="1">
      <alignment horizontal="center" vertical="center"/>
    </xf>
    <xf numFmtId="177" fontId="169" fillId="30" borderId="193" xfId="7" applyNumberFormat="1" applyFont="1" applyFill="1" applyBorder="1" applyAlignment="1">
      <alignment horizontal="center" vertical="center"/>
    </xf>
    <xf numFmtId="0" fontId="210" fillId="4" borderId="166" xfId="7" applyFont="1" applyFill="1" applyBorder="1" applyAlignment="1">
      <alignment horizontal="center" vertical="center" wrapText="1"/>
    </xf>
    <xf numFmtId="177" fontId="210" fillId="30" borderId="162" xfId="7" applyNumberFormat="1" applyFont="1" applyFill="1" applyBorder="1" applyAlignment="1">
      <alignment horizontal="center" vertical="center"/>
    </xf>
    <xf numFmtId="177" fontId="210" fillId="30" borderId="193" xfId="7" applyNumberFormat="1" applyFont="1" applyFill="1" applyBorder="1" applyAlignment="1">
      <alignment horizontal="center" vertical="center"/>
    </xf>
    <xf numFmtId="0" fontId="176" fillId="4" borderId="166" xfId="7" applyFont="1" applyFill="1" applyBorder="1" applyAlignment="1">
      <alignment horizontal="center" vertical="center" wrapText="1"/>
    </xf>
    <xf numFmtId="177" fontId="176" fillId="0" borderId="162" xfId="7" applyNumberFormat="1" applyFont="1" applyBorder="1" applyAlignment="1">
      <alignment horizontal="center" vertical="center"/>
    </xf>
    <xf numFmtId="177" fontId="176" fillId="0" borderId="193" xfId="7" applyNumberFormat="1" applyFont="1" applyBorder="1" applyAlignment="1">
      <alignment horizontal="center" vertical="center"/>
    </xf>
    <xf numFmtId="0" fontId="256" fillId="4" borderId="166" xfId="7" applyFont="1" applyFill="1" applyBorder="1" applyAlignment="1">
      <alignment horizontal="center" vertical="center" wrapText="1"/>
    </xf>
    <xf numFmtId="177" fontId="256" fillId="30" borderId="162" xfId="7" applyNumberFormat="1" applyFont="1" applyFill="1" applyBorder="1" applyAlignment="1">
      <alignment horizontal="center" vertical="center"/>
    </xf>
    <xf numFmtId="177" fontId="256" fillId="30" borderId="193" xfId="7" applyNumberFormat="1" applyFont="1" applyFill="1" applyBorder="1" applyAlignment="1">
      <alignment horizontal="center" vertical="center"/>
    </xf>
    <xf numFmtId="170" fontId="257" fillId="0" borderId="162" xfId="7" applyNumberFormat="1" applyFont="1" applyBorder="1" applyAlignment="1">
      <alignment horizontal="center" vertical="center" wrapText="1"/>
    </xf>
    <xf numFmtId="170" fontId="257" fillId="0" borderId="193" xfId="7" applyNumberFormat="1" applyFont="1" applyBorder="1" applyAlignment="1">
      <alignment horizontal="center" vertical="center" wrapText="1"/>
    </xf>
    <xf numFmtId="0" fontId="30" fillId="30" borderId="166" xfId="7" applyFont="1" applyFill="1" applyBorder="1" applyAlignment="1">
      <alignment horizontal="center" vertical="center" wrapText="1"/>
    </xf>
    <xf numFmtId="0" fontId="30" fillId="30" borderId="0" xfId="7" applyFont="1" applyFill="1" applyBorder="1" applyAlignment="1">
      <alignment horizontal="center" vertical="center" wrapText="1"/>
    </xf>
    <xf numFmtId="170" fontId="210" fillId="30" borderId="162" xfId="7" applyNumberFormat="1" applyFont="1" applyFill="1" applyBorder="1" applyAlignment="1">
      <alignment horizontal="center" vertical="center" wrapText="1"/>
    </xf>
    <xf numFmtId="170" fontId="210" fillId="30" borderId="193" xfId="7" applyNumberFormat="1" applyFont="1" applyFill="1" applyBorder="1" applyAlignment="1">
      <alignment horizontal="center" vertical="center" wrapText="1"/>
    </xf>
    <xf numFmtId="170" fontId="169" fillId="30" borderId="162" xfId="7" applyNumberFormat="1" applyFont="1" applyFill="1" applyBorder="1" applyAlignment="1">
      <alignment horizontal="center" vertical="center" wrapText="1"/>
    </xf>
    <xf numFmtId="170" fontId="169" fillId="30" borderId="193" xfId="7" applyNumberFormat="1" applyFont="1" applyFill="1" applyBorder="1" applyAlignment="1">
      <alignment horizontal="center" vertical="center" wrapText="1"/>
    </xf>
    <xf numFmtId="170" fontId="176" fillId="0" borderId="162" xfId="7" applyNumberFormat="1" applyFont="1" applyBorder="1" applyAlignment="1">
      <alignment horizontal="center" vertical="center" wrapText="1"/>
    </xf>
    <xf numFmtId="170" fontId="176" fillId="0" borderId="193" xfId="7" applyNumberFormat="1" applyFont="1" applyBorder="1" applyAlignment="1">
      <alignment horizontal="center" vertical="center" wrapText="1"/>
    </xf>
    <xf numFmtId="0" fontId="215" fillId="4" borderId="166" xfId="7" applyFont="1" applyFill="1" applyBorder="1" applyAlignment="1">
      <alignment horizontal="center" vertical="center" wrapText="1"/>
    </xf>
    <xf numFmtId="178" fontId="215" fillId="5" borderId="162" xfId="7" applyNumberFormat="1" applyFont="1" applyFill="1" applyBorder="1" applyAlignment="1">
      <alignment horizontal="center" vertical="center"/>
    </xf>
    <xf numFmtId="178" fontId="215" fillId="5" borderId="193" xfId="7" applyNumberFormat="1" applyFont="1" applyFill="1" applyBorder="1" applyAlignment="1">
      <alignment horizontal="center" vertical="center"/>
    </xf>
    <xf numFmtId="177" fontId="167" fillId="0" borderId="162" xfId="7" applyNumberFormat="1" applyFont="1" applyBorder="1" applyAlignment="1">
      <alignment horizontal="center" vertical="center"/>
    </xf>
    <xf numFmtId="177" fontId="167" fillId="0" borderId="193" xfId="7" applyNumberFormat="1" applyFont="1" applyBorder="1" applyAlignment="1">
      <alignment horizontal="center" vertical="center"/>
    </xf>
    <xf numFmtId="0" fontId="14" fillId="4" borderId="0" xfId="7" applyFont="1" applyFill="1" applyBorder="1" applyAlignment="1">
      <alignment horizontal="center" vertical="center" wrapText="1"/>
    </xf>
    <xf numFmtId="170" fontId="14" fillId="0" borderId="162" xfId="7" applyNumberFormat="1" applyFont="1" applyBorder="1" applyAlignment="1">
      <alignment horizontal="center" vertical="center" wrapText="1"/>
    </xf>
    <xf numFmtId="170" fontId="14" fillId="0" borderId="193" xfId="7" applyNumberFormat="1" applyFont="1" applyBorder="1" applyAlignment="1">
      <alignment horizontal="center" vertical="center" wrapText="1"/>
    </xf>
    <xf numFmtId="0" fontId="31" fillId="4" borderId="166" xfId="7" applyFont="1" applyFill="1" applyBorder="1" applyAlignment="1">
      <alignment horizontal="center" vertical="center" wrapText="1"/>
    </xf>
    <xf numFmtId="170" fontId="31" fillId="0" borderId="162" xfId="7" applyNumberFormat="1" applyFont="1" applyBorder="1" applyAlignment="1">
      <alignment horizontal="center" vertical="center" wrapText="1"/>
    </xf>
    <xf numFmtId="170" fontId="31" fillId="0" borderId="193" xfId="7" applyNumberFormat="1" applyFont="1" applyBorder="1" applyAlignment="1">
      <alignment horizontal="center" vertical="center" wrapText="1"/>
    </xf>
    <xf numFmtId="179" fontId="176" fillId="0" borderId="162" xfId="7" applyNumberFormat="1" applyFont="1" applyBorder="1" applyAlignment="1">
      <alignment horizontal="center" vertical="center" wrapText="1"/>
    </xf>
    <xf numFmtId="179" fontId="176" fillId="0" borderId="193" xfId="7" applyNumberFormat="1" applyFont="1" applyBorder="1" applyAlignment="1">
      <alignment horizontal="center" vertical="center" wrapText="1"/>
    </xf>
    <xf numFmtId="1" fontId="31" fillId="4" borderId="75" xfId="7" applyNumberFormat="1" applyFont="1" applyFill="1" applyBorder="1" applyAlignment="1">
      <alignment horizontal="center" vertical="center" wrapText="1"/>
    </xf>
    <xf numFmtId="9" fontId="239" fillId="4" borderId="76" xfId="7" applyNumberFormat="1" applyFont="1" applyFill="1" applyBorder="1" applyAlignment="1">
      <alignment horizontal="center" vertical="center" wrapText="1"/>
    </xf>
    <xf numFmtId="170" fontId="14" fillId="0" borderId="77" xfId="7" applyNumberFormat="1" applyFont="1" applyBorder="1" applyAlignment="1">
      <alignment horizontal="center" vertical="center" wrapText="1"/>
    </xf>
    <xf numFmtId="0" fontId="30" fillId="4" borderId="166" xfId="7" applyFont="1" applyFill="1" applyBorder="1" applyAlignment="1">
      <alignment horizontal="center" vertical="center" wrapText="1"/>
    </xf>
    <xf numFmtId="9" fontId="205" fillId="4" borderId="0" xfId="7" applyNumberFormat="1" applyFont="1" applyFill="1" applyBorder="1" applyAlignment="1">
      <alignment horizontal="center" vertical="center" wrapText="1"/>
    </xf>
    <xf numFmtId="170" fontId="166" fillId="30" borderId="0" xfId="7" applyNumberFormat="1" applyFont="1" applyFill="1" applyBorder="1" applyAlignment="1">
      <alignment horizontal="center" vertical="center" wrapText="1"/>
    </xf>
    <xf numFmtId="170" fontId="166" fillId="30" borderId="90" xfId="7" applyNumberFormat="1" applyFont="1" applyFill="1" applyBorder="1" applyAlignment="1">
      <alignment horizontal="center" vertical="center" wrapText="1"/>
    </xf>
    <xf numFmtId="1" fontId="30" fillId="4" borderId="183" xfId="7" applyNumberFormat="1" applyFont="1" applyFill="1" applyBorder="1" applyAlignment="1">
      <alignment horizontal="center" vertical="center" wrapText="1"/>
    </xf>
    <xf numFmtId="9" fontId="205" fillId="4" borderId="184" xfId="7" applyNumberFormat="1" applyFont="1" applyFill="1" applyBorder="1" applyAlignment="1">
      <alignment horizontal="center" vertical="center" wrapText="1"/>
    </xf>
    <xf numFmtId="170" fontId="166" fillId="30" borderId="185" xfId="7" applyNumberFormat="1" applyFont="1" applyFill="1" applyBorder="1" applyAlignment="1">
      <alignment horizontal="center" vertical="center" wrapText="1"/>
    </xf>
    <xf numFmtId="180" fontId="239" fillId="4" borderId="76" xfId="7" applyNumberFormat="1" applyFont="1" applyFill="1" applyBorder="1" applyAlignment="1">
      <alignment horizontal="center" vertical="center" wrapText="1"/>
    </xf>
    <xf numFmtId="170" fontId="30" fillId="0" borderId="0" xfId="7" applyNumberFormat="1" applyFont="1" applyBorder="1" applyAlignment="1">
      <alignment horizontal="center" vertical="center" wrapText="1"/>
    </xf>
    <xf numFmtId="170" fontId="30" fillId="0" borderId="90" xfId="7" applyNumberFormat="1" applyFont="1" applyBorder="1" applyAlignment="1">
      <alignment horizontal="center" vertical="center" wrapText="1"/>
    </xf>
    <xf numFmtId="170" fontId="30" fillId="0" borderId="185" xfId="7" applyNumberFormat="1" applyFont="1" applyBorder="1" applyAlignment="1">
      <alignment horizontal="center" vertical="center" wrapText="1"/>
    </xf>
    <xf numFmtId="1" fontId="30" fillId="4" borderId="202" xfId="7" applyNumberFormat="1" applyFont="1" applyFill="1" applyBorder="1" applyAlignment="1">
      <alignment horizontal="center" vertical="center" wrapText="1"/>
    </xf>
    <xf numFmtId="9" fontId="205" fillId="4" borderId="192" xfId="7" applyNumberFormat="1" applyFont="1" applyFill="1" applyBorder="1" applyAlignment="1">
      <alignment horizontal="center" vertical="center" wrapText="1"/>
    </xf>
    <xf numFmtId="170" fontId="30" fillId="0" borderId="203" xfId="7" applyNumberFormat="1" applyFont="1" applyBorder="1" applyAlignment="1">
      <alignment horizontal="center" vertical="center" wrapText="1"/>
    </xf>
    <xf numFmtId="170" fontId="30" fillId="0" borderId="204" xfId="7" applyNumberFormat="1" applyFont="1" applyBorder="1" applyAlignment="1">
      <alignment horizontal="center" vertical="center" wrapText="1"/>
    </xf>
    <xf numFmtId="170" fontId="30" fillId="0" borderId="192" xfId="7" applyNumberFormat="1" applyFont="1" applyBorder="1" applyAlignment="1">
      <alignment horizontal="center" vertical="center" wrapText="1"/>
    </xf>
    <xf numFmtId="170" fontId="30" fillId="0" borderId="205" xfId="7" applyNumberFormat="1" applyFont="1" applyBorder="1" applyAlignment="1">
      <alignment horizontal="center" vertical="center" wrapText="1"/>
    </xf>
    <xf numFmtId="1" fontId="30" fillId="4" borderId="0" xfId="7" applyNumberFormat="1" applyFont="1" applyFill="1" applyAlignment="1">
      <alignment horizontal="center" vertical="center" wrapText="1"/>
    </xf>
    <xf numFmtId="170" fontId="30" fillId="4" borderId="0" xfId="7" applyNumberFormat="1" applyFont="1" applyFill="1" applyAlignment="1">
      <alignment horizontal="center" vertical="center" wrapText="1"/>
    </xf>
    <xf numFmtId="0" fontId="36" fillId="4" borderId="0" xfId="13" applyFill="1" applyAlignment="1">
      <alignment vertical="center"/>
    </xf>
    <xf numFmtId="0" fontId="126" fillId="4" borderId="0" xfId="13" applyFont="1" applyFill="1" applyAlignment="1">
      <alignment vertical="center"/>
    </xf>
    <xf numFmtId="0" fontId="126" fillId="4" borderId="23" xfId="13" applyFont="1" applyFill="1" applyBorder="1" applyAlignment="1">
      <alignment vertical="center"/>
    </xf>
    <xf numFmtId="0" fontId="23" fillId="4" borderId="0" xfId="13" applyFont="1" applyFill="1" applyBorder="1" applyAlignment="1">
      <alignment horizontal="right" vertical="center"/>
    </xf>
    <xf numFmtId="0" fontId="127" fillId="4" borderId="23" xfId="13" applyFont="1" applyFill="1" applyBorder="1" applyAlignment="1">
      <alignment horizontal="right" vertical="center"/>
    </xf>
    <xf numFmtId="0" fontId="128" fillId="4" borderId="23" xfId="13" applyFont="1" applyFill="1" applyBorder="1" applyAlignment="1">
      <alignment horizontal="right" vertical="center"/>
    </xf>
    <xf numFmtId="0" fontId="191" fillId="11" borderId="97" xfId="7" applyFont="1" applyFill="1" applyBorder="1" applyAlignment="1">
      <alignment horizontal="center" vertical="center"/>
    </xf>
    <xf numFmtId="0" fontId="191" fillId="11" borderId="98" xfId="7" applyFont="1" applyFill="1" applyBorder="1" applyAlignment="1">
      <alignment horizontal="center" vertical="center"/>
    </xf>
    <xf numFmtId="0" fontId="265" fillId="24" borderId="95" xfId="7" applyFont="1" applyFill="1" applyBorder="1" applyAlignment="1">
      <alignment horizontal="center" vertical="center"/>
    </xf>
    <xf numFmtId="0" fontId="265" fillId="24" borderId="45" xfId="7" applyFont="1" applyFill="1" applyBorder="1" applyAlignment="1">
      <alignment horizontal="center" vertical="center"/>
    </xf>
    <xf numFmtId="0" fontId="265" fillId="0" borderId="0" xfId="4" applyFont="1" applyAlignment="1">
      <alignment horizontal="center"/>
    </xf>
    <xf numFmtId="0" fontId="265" fillId="1" borderId="45" xfId="7" applyFont="1" applyFill="1" applyBorder="1" applyAlignment="1">
      <alignment horizontal="center" vertical="center"/>
    </xf>
    <xf numFmtId="0" fontId="265" fillId="1" borderId="96" xfId="7" applyFont="1" applyFill="1" applyBorder="1" applyAlignment="1">
      <alignment horizontal="center" vertical="center"/>
    </xf>
    <xf numFmtId="0" fontId="265" fillId="24" borderId="96" xfId="7" applyFont="1" applyFill="1" applyBorder="1" applyAlignment="1">
      <alignment horizontal="center" vertical="center"/>
    </xf>
    <xf numFmtId="0" fontId="265" fillId="1" borderId="95" xfId="7" applyFont="1" applyFill="1" applyBorder="1" applyAlignment="1">
      <alignment horizontal="center" vertical="center"/>
    </xf>
    <xf numFmtId="0" fontId="266" fillId="30" borderId="45" xfId="7" applyFont="1" applyFill="1" applyBorder="1" applyAlignment="1">
      <alignment horizontal="center" vertical="center"/>
    </xf>
    <xf numFmtId="0" fontId="266" fillId="30" borderId="96" xfId="7" applyFont="1" applyFill="1" applyBorder="1" applyAlignment="1">
      <alignment horizontal="center" vertical="center"/>
    </xf>
    <xf numFmtId="0" fontId="266" fillId="30" borderId="95" xfId="7" applyFont="1" applyFill="1" applyBorder="1" applyAlignment="1">
      <alignment horizontal="center" vertical="center"/>
    </xf>
    <xf numFmtId="0" fontId="266" fillId="65" borderId="45" xfId="7" applyFont="1" applyFill="1" applyBorder="1" applyAlignment="1">
      <alignment horizontal="center" vertical="center"/>
    </xf>
    <xf numFmtId="0" fontId="265" fillId="65" borderId="0" xfId="4" applyFont="1" applyFill="1" applyAlignment="1">
      <alignment horizontal="center"/>
    </xf>
    <xf numFmtId="0" fontId="217" fillId="30" borderId="95" xfId="7" applyFont="1" applyFill="1" applyBorder="1" applyAlignment="1">
      <alignment horizontal="center" vertical="center"/>
    </xf>
    <xf numFmtId="0" fontId="217" fillId="30" borderId="45" xfId="7" applyFont="1" applyFill="1" applyBorder="1" applyAlignment="1">
      <alignment horizontal="center" vertical="center"/>
    </xf>
    <xf numFmtId="0" fontId="265" fillId="1" borderId="98" xfId="7" applyFont="1" applyFill="1" applyBorder="1" applyAlignment="1">
      <alignment horizontal="center" vertical="center"/>
    </xf>
    <xf numFmtId="0" fontId="265" fillId="1" borderId="99" xfId="7" applyFont="1" applyFill="1" applyBorder="1" applyAlignment="1">
      <alignment horizontal="center" vertical="center"/>
    </xf>
    <xf numFmtId="0" fontId="43" fillId="0" borderId="94" xfId="7" applyFont="1" applyBorder="1" applyAlignment="1">
      <alignment horizontal="center" vertical="center"/>
    </xf>
    <xf numFmtId="0" fontId="43" fillId="0" borderId="0" xfId="7" applyFont="1" applyAlignment="1">
      <alignment horizontal="center" vertical="center"/>
    </xf>
    <xf numFmtId="0" fontId="216" fillId="0" borderId="0" xfId="4" applyFont="1" applyAlignment="1">
      <alignment horizontal="center"/>
    </xf>
    <xf numFmtId="0" fontId="145" fillId="0" borderId="0" xfId="7" applyFont="1" applyAlignment="1">
      <alignment horizontal="center" vertical="center"/>
    </xf>
    <xf numFmtId="0" fontId="267" fillId="48" borderId="29" xfId="7" applyFont="1" applyFill="1" applyBorder="1" applyAlignment="1">
      <alignment horizontal="center" vertical="center"/>
    </xf>
    <xf numFmtId="0" fontId="20" fillId="21" borderId="91" xfId="7" applyFont="1" applyFill="1" applyBorder="1" applyAlignment="1">
      <alignment horizontal="centerContinuous" vertical="center"/>
    </xf>
    <xf numFmtId="0" fontId="20" fillId="21" borderId="92" xfId="7" applyFont="1" applyFill="1" applyBorder="1" applyAlignment="1">
      <alignment horizontal="centerContinuous" vertical="center"/>
    </xf>
    <xf numFmtId="0" fontId="20" fillId="21" borderId="93" xfId="7" applyFont="1" applyFill="1" applyBorder="1" applyAlignment="1">
      <alignment horizontal="centerContinuous" vertical="center"/>
    </xf>
    <xf numFmtId="0" fontId="246" fillId="4" borderId="0" xfId="4" applyFont="1" applyFill="1" applyAlignment="1">
      <alignment horizontal="left"/>
    </xf>
    <xf numFmtId="0" fontId="141" fillId="4" borderId="0" xfId="7" applyFont="1" applyFill="1" applyAlignment="1">
      <alignment horizontal="center"/>
    </xf>
    <xf numFmtId="0" fontId="4" fillId="4" borderId="0" xfId="7" applyFill="1"/>
    <xf numFmtId="0" fontId="24" fillId="4" borderId="0" xfId="7" applyFont="1" applyFill="1" applyAlignment="1">
      <alignment horizontal="centerContinuous"/>
    </xf>
    <xf numFmtId="0" fontId="20" fillId="4" borderId="0" xfId="7" applyFont="1" applyFill="1" applyAlignment="1">
      <alignment horizontal="right" vertical="center"/>
    </xf>
    <xf numFmtId="0" fontId="191" fillId="1" borderId="98" xfId="7" applyFont="1" applyFill="1" applyBorder="1" applyAlignment="1">
      <alignment horizontal="center" vertical="center"/>
    </xf>
    <xf numFmtId="0" fontId="6" fillId="4" borderId="0" xfId="13" applyFont="1" applyFill="1" applyAlignment="1">
      <alignment vertical="center"/>
    </xf>
    <xf numFmtId="0" fontId="6" fillId="4" borderId="4" xfId="13" applyFont="1" applyFill="1" applyBorder="1" applyAlignment="1">
      <alignment vertical="center"/>
    </xf>
    <xf numFmtId="0" fontId="6" fillId="4" borderId="5" xfId="13" applyFont="1" applyFill="1" applyBorder="1" applyAlignment="1">
      <alignment vertical="center"/>
    </xf>
    <xf numFmtId="0" fontId="126" fillId="4" borderId="5" xfId="13" applyFont="1" applyFill="1" applyBorder="1" applyAlignment="1">
      <alignment vertical="center"/>
    </xf>
    <xf numFmtId="0" fontId="6" fillId="4" borderId="6" xfId="13" applyFont="1" applyFill="1" applyBorder="1" applyAlignment="1">
      <alignment vertical="center"/>
    </xf>
    <xf numFmtId="0" fontId="6" fillId="4" borderId="15" xfId="13" applyFont="1" applyFill="1" applyBorder="1" applyAlignment="1">
      <alignment vertical="center"/>
    </xf>
    <xf numFmtId="0" fontId="269" fillId="4" borderId="0" xfId="13" applyFont="1" applyFill="1" applyAlignment="1">
      <alignment vertical="center"/>
    </xf>
    <xf numFmtId="0" fontId="6" fillId="4" borderId="13" xfId="13" applyFont="1" applyFill="1" applyBorder="1" applyAlignment="1">
      <alignment vertical="center"/>
    </xf>
    <xf numFmtId="0" fontId="6" fillId="4" borderId="50" xfId="13" applyFont="1" applyFill="1" applyBorder="1" applyAlignment="1">
      <alignment vertical="center"/>
    </xf>
    <xf numFmtId="0" fontId="270" fillId="4" borderId="51" xfId="13" applyFont="1" applyFill="1" applyBorder="1" applyAlignment="1">
      <alignment vertical="center"/>
    </xf>
    <xf numFmtId="0" fontId="6" fillId="4" borderId="52" xfId="13" applyFont="1" applyFill="1" applyBorder="1" applyAlignment="1">
      <alignment vertical="center"/>
    </xf>
    <xf numFmtId="0" fontId="6" fillId="4" borderId="53" xfId="13" applyFont="1" applyFill="1" applyBorder="1" applyAlignment="1">
      <alignment vertical="center"/>
    </xf>
    <xf numFmtId="0" fontId="270" fillId="4" borderId="0" xfId="13" applyFont="1" applyFill="1" applyAlignment="1">
      <alignment vertical="center"/>
    </xf>
    <xf numFmtId="0" fontId="271" fillId="4" borderId="0" xfId="13" applyFont="1" applyFill="1" applyAlignment="1">
      <alignment horizontal="center" vertical="center"/>
    </xf>
    <xf numFmtId="0" fontId="6" fillId="4" borderId="54" xfId="13" applyFont="1" applyFill="1" applyBorder="1" applyAlignment="1">
      <alignment vertical="center"/>
    </xf>
    <xf numFmtId="0" fontId="270" fillId="4" borderId="0" xfId="13" applyFont="1" applyFill="1" applyAlignment="1">
      <alignment horizontal="center" vertical="center"/>
    </xf>
    <xf numFmtId="0" fontId="6" fillId="4" borderId="55" xfId="13" applyFont="1" applyFill="1" applyBorder="1" applyAlignment="1">
      <alignment vertical="center"/>
    </xf>
    <xf numFmtId="0" fontId="270" fillId="4" borderId="56" xfId="13" applyFont="1" applyFill="1" applyBorder="1" applyAlignment="1">
      <alignment vertical="center"/>
    </xf>
    <xf numFmtId="0" fontId="6" fillId="4" borderId="57" xfId="13" applyFont="1" applyFill="1" applyBorder="1" applyAlignment="1">
      <alignment vertical="center"/>
    </xf>
    <xf numFmtId="0" fontId="6" fillId="4" borderId="0" xfId="13" applyFont="1" applyFill="1" applyAlignment="1">
      <alignment horizontal="right" vertical="center"/>
    </xf>
    <xf numFmtId="0" fontId="272" fillId="4" borderId="0" xfId="13" applyFont="1" applyFill="1" applyAlignment="1">
      <alignment horizontal="right" vertical="center"/>
    </xf>
    <xf numFmtId="2" fontId="270" fillId="4" borderId="0" xfId="13" applyNumberFormat="1" applyFont="1" applyFill="1" applyAlignment="1">
      <alignment horizontal="left" vertical="center"/>
    </xf>
    <xf numFmtId="0" fontId="6" fillId="4" borderId="0" xfId="13" applyFont="1" applyFill="1" applyAlignment="1">
      <alignment horizontal="left" vertical="center"/>
    </xf>
    <xf numFmtId="0" fontId="6" fillId="4" borderId="0" xfId="13" applyFont="1" applyFill="1" applyAlignment="1">
      <alignment horizontal="center" vertical="center"/>
    </xf>
    <xf numFmtId="0" fontId="6" fillId="4" borderId="40" xfId="13" applyFont="1" applyFill="1" applyBorder="1" applyAlignment="1">
      <alignment vertical="center"/>
    </xf>
    <xf numFmtId="0" fontId="6" fillId="4" borderId="10" xfId="13" applyFont="1" applyFill="1" applyBorder="1" applyAlignment="1">
      <alignment vertical="center"/>
    </xf>
    <xf numFmtId="0" fontId="6" fillId="4" borderId="41" xfId="13" applyFont="1" applyFill="1" applyBorder="1" applyAlignment="1">
      <alignment vertical="center"/>
    </xf>
    <xf numFmtId="0" fontId="6" fillId="4" borderId="0" xfId="13" quotePrefix="1" applyFont="1" applyFill="1" applyAlignment="1">
      <alignment horizontal="right" vertical="center"/>
    </xf>
    <xf numFmtId="0" fontId="272" fillId="4" borderId="5" xfId="13" applyFont="1" applyFill="1" applyBorder="1" applyAlignment="1">
      <alignment horizontal="right" vertical="center"/>
    </xf>
    <xf numFmtId="0" fontId="6" fillId="4" borderId="0" xfId="13" quotePrefix="1" applyFont="1" applyFill="1" applyAlignment="1">
      <alignment vertical="center"/>
    </xf>
    <xf numFmtId="2" fontId="270" fillId="4" borderId="13" xfId="13" applyNumberFormat="1" applyFont="1" applyFill="1" applyBorder="1" applyAlignment="1">
      <alignment horizontal="left" vertical="center"/>
    </xf>
    <xf numFmtId="0" fontId="272" fillId="4" borderId="10" xfId="13" applyFont="1" applyFill="1" applyBorder="1" applyAlignment="1">
      <alignment horizontal="right" vertical="center"/>
    </xf>
    <xf numFmtId="0" fontId="6" fillId="4" borderId="10" xfId="13" quotePrefix="1" applyFont="1" applyFill="1" applyBorder="1" applyAlignment="1">
      <alignment vertical="center"/>
    </xf>
    <xf numFmtId="2" fontId="270" fillId="4" borderId="41" xfId="13" applyNumberFormat="1" applyFont="1" applyFill="1" applyBorder="1" applyAlignment="1">
      <alignment horizontal="left" vertical="center"/>
    </xf>
    <xf numFmtId="0" fontId="6" fillId="4" borderId="41" xfId="13" applyFont="1" applyFill="1" applyBorder="1" applyAlignment="1">
      <alignment horizontal="right" vertical="center"/>
    </xf>
    <xf numFmtId="0" fontId="269" fillId="4" borderId="5" xfId="13" applyFont="1" applyFill="1" applyBorder="1" applyAlignment="1">
      <alignment vertical="center"/>
    </xf>
    <xf numFmtId="0" fontId="271" fillId="4" borderId="0" xfId="13" applyFont="1" applyFill="1" applyAlignment="1">
      <alignment horizontal="right" vertical="center"/>
    </xf>
    <xf numFmtId="0" fontId="270" fillId="4" borderId="0" xfId="13" applyFont="1" applyFill="1" applyAlignment="1">
      <alignment horizontal="right" vertical="center"/>
    </xf>
    <xf numFmtId="0" fontId="273" fillId="4" borderId="0" xfId="13" applyFont="1" applyFill="1" applyAlignment="1">
      <alignment horizontal="right" vertical="center"/>
    </xf>
    <xf numFmtId="0" fontId="270" fillId="4" borderId="5" xfId="13" applyFont="1" applyFill="1" applyBorder="1" applyAlignment="1">
      <alignment vertical="center"/>
    </xf>
    <xf numFmtId="0" fontId="6" fillId="4" borderId="15" xfId="13" applyFont="1" applyFill="1" applyBorder="1" applyAlignment="1">
      <alignment horizontal="left" vertical="center"/>
    </xf>
    <xf numFmtId="0" fontId="270" fillId="4" borderId="0" xfId="13" applyFont="1" applyFill="1" applyAlignment="1">
      <alignment horizontal="left" vertical="center"/>
    </xf>
    <xf numFmtId="0" fontId="270" fillId="4" borderId="10" xfId="13" applyFont="1" applyFill="1" applyBorder="1" applyAlignment="1">
      <alignment vertical="center"/>
    </xf>
    <xf numFmtId="0" fontId="270" fillId="4" borderId="10" xfId="13" applyFont="1" applyFill="1" applyBorder="1" applyAlignment="1">
      <alignment horizontal="center" vertical="center"/>
    </xf>
    <xf numFmtId="0" fontId="6" fillId="4" borderId="0" xfId="13" applyFont="1" applyFill="1" applyBorder="1" applyAlignment="1">
      <alignment vertical="center"/>
    </xf>
    <xf numFmtId="0" fontId="6" fillId="4" borderId="117" xfId="13" applyFont="1" applyFill="1" applyBorder="1" applyAlignment="1">
      <alignment vertical="center"/>
    </xf>
    <xf numFmtId="0" fontId="6" fillId="4" borderId="23" xfId="13" applyFont="1" applyFill="1" applyBorder="1" applyAlignment="1">
      <alignment vertical="center"/>
    </xf>
    <xf numFmtId="0" fontId="6" fillId="4" borderId="0" xfId="13" applyFont="1" applyFill="1" applyBorder="1" applyAlignment="1" applyProtection="1">
      <alignment horizontal="right" vertical="center"/>
      <protection locked="0"/>
    </xf>
    <xf numFmtId="0" fontId="6" fillId="4" borderId="0" xfId="13" applyFont="1" applyFill="1" applyBorder="1" applyAlignment="1" applyProtection="1">
      <alignment horizontal="left" vertical="center"/>
      <protection locked="0"/>
    </xf>
    <xf numFmtId="0" fontId="22" fillId="37" borderId="165" xfId="13" applyFont="1" applyFill="1" applyBorder="1" applyAlignment="1">
      <alignment horizontal="center" vertical="center"/>
    </xf>
    <xf numFmtId="1" fontId="274" fillId="36" borderId="165" xfId="13" applyNumberFormat="1" applyFont="1" applyFill="1" applyBorder="1" applyAlignment="1">
      <alignment horizontal="center" vertical="center"/>
    </xf>
    <xf numFmtId="0" fontId="22" fillId="28" borderId="165" xfId="13" applyFont="1" applyFill="1" applyBorder="1" applyAlignment="1">
      <alignment horizontal="center" vertical="center"/>
    </xf>
    <xf numFmtId="0" fontId="118" fillId="5" borderId="165" xfId="13" applyFont="1" applyFill="1" applyBorder="1" applyAlignment="1">
      <alignment horizontal="center" vertical="center"/>
    </xf>
    <xf numFmtId="0" fontId="6" fillId="0" borderId="0" xfId="13" applyFont="1" applyBorder="1" applyAlignment="1" applyProtection="1">
      <alignment horizontal="right" vertical="center"/>
      <protection locked="0"/>
    </xf>
    <xf numFmtId="0" fontId="127" fillId="0" borderId="0" xfId="13" applyFont="1" applyBorder="1" applyAlignment="1" applyProtection="1">
      <alignment horizontal="right" vertical="center"/>
      <protection locked="0"/>
    </xf>
    <xf numFmtId="0" fontId="127" fillId="4" borderId="0" xfId="13" quotePrefix="1" applyFont="1" applyFill="1" applyBorder="1" applyAlignment="1" applyProtection="1">
      <alignment horizontal="right" vertical="center"/>
      <protection locked="0"/>
    </xf>
    <xf numFmtId="0" fontId="127" fillId="4" borderId="0" xfId="13" applyFont="1" applyFill="1" applyBorder="1" applyAlignment="1" applyProtection="1">
      <alignment horizontal="right" vertical="center"/>
      <protection locked="0"/>
    </xf>
    <xf numFmtId="0" fontId="269" fillId="4" borderId="0" xfId="13" applyFont="1" applyFill="1" applyBorder="1" applyAlignment="1" applyProtection="1">
      <alignment horizontal="right" vertical="center"/>
      <protection locked="0"/>
    </xf>
    <xf numFmtId="171" fontId="269" fillId="4" borderId="0" xfId="13" applyNumberFormat="1" applyFont="1" applyFill="1" applyBorder="1" applyAlignment="1" applyProtection="1">
      <alignment horizontal="right" vertical="center"/>
      <protection locked="0"/>
    </xf>
    <xf numFmtId="0" fontId="127" fillId="4" borderId="0" xfId="13" applyFont="1" applyFill="1" applyBorder="1" applyAlignment="1" applyProtection="1">
      <alignment horizontal="left" vertical="center"/>
      <protection locked="0"/>
    </xf>
    <xf numFmtId="0" fontId="275" fillId="4" borderId="0" xfId="13" applyFont="1" applyFill="1" applyBorder="1" applyAlignment="1" applyProtection="1">
      <alignment horizontal="right" vertical="center"/>
      <protection locked="0"/>
    </xf>
    <xf numFmtId="171" fontId="275" fillId="4" borderId="0" xfId="13" applyNumberFormat="1" applyFont="1" applyFill="1" applyBorder="1" applyAlignment="1" applyProtection="1">
      <alignment horizontal="right" vertical="center"/>
      <protection locked="0"/>
    </xf>
    <xf numFmtId="0" fontId="6" fillId="4" borderId="100" xfId="13" applyFont="1" applyFill="1" applyBorder="1" applyAlignment="1">
      <alignment vertical="center"/>
    </xf>
    <xf numFmtId="0" fontId="6" fillId="4" borderId="180" xfId="13" applyFont="1" applyFill="1" applyBorder="1" applyAlignment="1">
      <alignment vertical="center"/>
    </xf>
    <xf numFmtId="0" fontId="6" fillId="4" borderId="180" xfId="13" applyFont="1" applyFill="1" applyBorder="1" applyAlignment="1" applyProtection="1">
      <alignment horizontal="right" vertical="center"/>
      <protection locked="0"/>
    </xf>
    <xf numFmtId="0" fontId="6" fillId="4" borderId="209" xfId="13" applyFont="1" applyFill="1" applyBorder="1" applyAlignment="1">
      <alignment vertical="center"/>
    </xf>
    <xf numFmtId="0" fontId="276" fillId="4" borderId="23" xfId="13" applyFont="1" applyFill="1" applyBorder="1" applyAlignment="1">
      <alignment vertical="center"/>
    </xf>
    <xf numFmtId="0" fontId="273" fillId="4" borderId="58" xfId="13" applyFont="1" applyFill="1" applyBorder="1" applyAlignment="1">
      <alignment horizontal="center" vertical="center" wrapText="1"/>
    </xf>
    <xf numFmtId="0" fontId="6" fillId="4" borderId="23" xfId="13" applyFont="1" applyFill="1" applyBorder="1" applyAlignment="1">
      <alignment horizontal="right" vertical="center"/>
    </xf>
    <xf numFmtId="0" fontId="273" fillId="4" borderId="0" xfId="13" applyFont="1" applyFill="1" applyAlignment="1">
      <alignment horizontal="center" vertical="center" wrapText="1"/>
    </xf>
    <xf numFmtId="0" fontId="273" fillId="4" borderId="59" xfId="13" applyFont="1" applyFill="1" applyBorder="1" applyAlignment="1">
      <alignment horizontal="center" vertical="center" wrapText="1"/>
    </xf>
    <xf numFmtId="0" fontId="273" fillId="4" borderId="60" xfId="13" applyFont="1" applyFill="1" applyBorder="1" applyAlignment="1">
      <alignment horizontal="center" vertical="center" wrapText="1"/>
    </xf>
    <xf numFmtId="0" fontId="273" fillId="4" borderId="61" xfId="13" applyFont="1" applyFill="1" applyBorder="1" applyAlignment="1">
      <alignment horizontal="center" vertical="center" wrapText="1"/>
    </xf>
    <xf numFmtId="49" fontId="6" fillId="4" borderId="0" xfId="13" applyNumberFormat="1" applyFont="1" applyFill="1" applyAlignment="1" applyProtection="1">
      <alignment horizontal="center" vertical="center"/>
      <protection locked="0"/>
    </xf>
    <xf numFmtId="0" fontId="6" fillId="4" borderId="0" xfId="13" applyFont="1" applyFill="1" applyAlignment="1" applyProtection="1">
      <alignment horizontal="center" vertical="center"/>
      <protection locked="0"/>
    </xf>
    <xf numFmtId="2" fontId="6" fillId="4" borderId="0" xfId="13" applyNumberFormat="1" applyFont="1" applyFill="1" applyAlignment="1" applyProtection="1">
      <alignment horizontal="center" vertical="center"/>
      <protection locked="0"/>
    </xf>
    <xf numFmtId="0" fontId="6" fillId="4" borderId="29" xfId="13" applyFont="1" applyFill="1" applyBorder="1" applyAlignment="1">
      <alignment horizontal="center" vertical="center"/>
    </xf>
    <xf numFmtId="0" fontId="6" fillId="4" borderId="0" xfId="13" applyFont="1" applyFill="1" applyAlignment="1" applyProtection="1">
      <alignment horizontal="right" vertical="center"/>
      <protection locked="0"/>
    </xf>
    <xf numFmtId="0" fontId="6" fillId="4" borderId="29" xfId="13" applyFont="1" applyFill="1" applyBorder="1" applyAlignment="1">
      <alignment vertical="center"/>
    </xf>
    <xf numFmtId="0" fontId="275" fillId="4" borderId="0" xfId="13" applyFont="1" applyFill="1" applyAlignment="1">
      <alignment vertical="center"/>
    </xf>
    <xf numFmtId="0" fontId="275" fillId="4" borderId="0" xfId="13" applyFont="1" applyFill="1" applyAlignment="1" applyProtection="1">
      <alignment horizontal="right" vertical="center"/>
      <protection locked="0"/>
    </xf>
    <xf numFmtId="0" fontId="128" fillId="4" borderId="0" xfId="13" applyFont="1" applyFill="1" applyAlignment="1" applyProtection="1">
      <alignment horizontal="center" vertical="center"/>
      <protection locked="0"/>
    </xf>
    <xf numFmtId="0" fontId="128" fillId="4" borderId="29" xfId="13" applyFont="1" applyFill="1" applyBorder="1" applyAlignment="1" applyProtection="1">
      <alignment horizontal="center" vertical="center"/>
      <protection locked="0"/>
    </xf>
    <xf numFmtId="0" fontId="6" fillId="4" borderId="35" xfId="13" applyFont="1" applyFill="1" applyBorder="1" applyAlignment="1">
      <alignment vertical="center"/>
    </xf>
    <xf numFmtId="0" fontId="6" fillId="4" borderId="21" xfId="13" applyFont="1" applyFill="1" applyBorder="1" applyAlignment="1">
      <alignment vertical="center"/>
    </xf>
    <xf numFmtId="0" fontId="6" fillId="4" borderId="21" xfId="13" applyFont="1" applyFill="1" applyBorder="1" applyAlignment="1" applyProtection="1">
      <alignment horizontal="right" vertical="center"/>
      <protection locked="0"/>
    </xf>
    <xf numFmtId="0" fontId="6" fillId="4" borderId="28" xfId="13" applyFont="1" applyFill="1" applyBorder="1" applyAlignment="1">
      <alignment vertical="center"/>
    </xf>
    <xf numFmtId="0" fontId="276" fillId="4" borderId="206" xfId="13" applyFont="1" applyFill="1" applyBorder="1" applyAlignment="1">
      <alignment vertical="center"/>
    </xf>
    <xf numFmtId="0" fontId="6" fillId="4" borderId="170" xfId="13" applyFont="1" applyFill="1" applyBorder="1" applyAlignment="1">
      <alignment vertical="center"/>
    </xf>
    <xf numFmtId="0" fontId="6" fillId="4" borderId="207" xfId="13" applyFont="1" applyFill="1" applyBorder="1" applyAlignment="1">
      <alignment vertical="center"/>
    </xf>
    <xf numFmtId="0" fontId="6" fillId="4" borderId="0" xfId="13" applyFont="1" applyFill="1" applyBorder="1" applyAlignment="1">
      <alignment horizontal="center" vertical="center"/>
    </xf>
    <xf numFmtId="0" fontId="273" fillId="4" borderId="0" xfId="13" applyFont="1" applyFill="1" applyBorder="1" applyAlignment="1">
      <alignment horizontal="center" vertical="center" wrapText="1"/>
    </xf>
    <xf numFmtId="49" fontId="6" fillId="4" borderId="0" xfId="13" applyNumberFormat="1" applyFont="1" applyFill="1" applyBorder="1" applyAlignment="1" applyProtection="1">
      <alignment horizontal="center" vertical="center"/>
      <protection locked="0"/>
    </xf>
    <xf numFmtId="0" fontId="6" fillId="4" borderId="0" xfId="13" applyFont="1" applyFill="1" applyBorder="1" applyAlignment="1" applyProtection="1">
      <alignment horizontal="center" vertical="center"/>
      <protection locked="0"/>
    </xf>
    <xf numFmtId="2" fontId="6" fillId="4" borderId="0" xfId="13" applyNumberFormat="1" applyFont="1" applyFill="1" applyBorder="1" applyAlignment="1" applyProtection="1">
      <alignment horizontal="center" vertical="center"/>
      <protection locked="0"/>
    </xf>
    <xf numFmtId="0" fontId="6" fillId="4" borderId="117" xfId="13" applyFont="1" applyFill="1" applyBorder="1" applyAlignment="1">
      <alignment horizontal="center" vertical="center"/>
    </xf>
    <xf numFmtId="0" fontId="275" fillId="4" borderId="0" xfId="13" applyFont="1" applyFill="1" applyBorder="1" applyAlignment="1">
      <alignment vertical="center"/>
    </xf>
    <xf numFmtId="0" fontId="128" fillId="4" borderId="0" xfId="13" applyFont="1" applyFill="1" applyBorder="1" applyAlignment="1" applyProtection="1">
      <alignment horizontal="center" vertical="center"/>
      <protection locked="0"/>
    </xf>
    <xf numFmtId="0" fontId="128" fillId="4" borderId="117" xfId="13" applyFont="1" applyFill="1" applyBorder="1" applyAlignment="1" applyProtection="1">
      <alignment horizontal="center" vertical="center"/>
      <protection locked="0"/>
    </xf>
    <xf numFmtId="0" fontId="6" fillId="4" borderId="208" xfId="13" applyFont="1" applyFill="1" applyBorder="1" applyAlignment="1">
      <alignment vertical="center"/>
    </xf>
    <xf numFmtId="0" fontId="276" fillId="4" borderId="33" xfId="13" applyFont="1" applyFill="1" applyBorder="1" applyAlignment="1">
      <alignment vertical="center"/>
    </xf>
    <xf numFmtId="0" fontId="6" fillId="4" borderId="16" xfId="13" applyFont="1" applyFill="1" applyBorder="1" applyAlignment="1">
      <alignment vertical="center"/>
    </xf>
    <xf numFmtId="0" fontId="6" fillId="4" borderId="34" xfId="13" applyFont="1" applyFill="1" applyBorder="1" applyAlignment="1">
      <alignment vertical="center"/>
    </xf>
    <xf numFmtId="0" fontId="2" fillId="15" borderId="0" xfId="13" applyFont="1" applyFill="1" applyAlignment="1">
      <alignment vertical="center"/>
    </xf>
    <xf numFmtId="0" fontId="36" fillId="15" borderId="0" xfId="13" applyFill="1" applyAlignment="1">
      <alignment vertical="center"/>
    </xf>
    <xf numFmtId="0" fontId="30" fillId="15" borderId="0" xfId="7" applyFont="1" applyFill="1" applyAlignment="1">
      <alignment horizontal="center"/>
    </xf>
    <xf numFmtId="0" fontId="30" fillId="0" borderId="0" xfId="7" applyFont="1"/>
    <xf numFmtId="0" fontId="31" fillId="0" borderId="0" xfId="7" applyFont="1"/>
    <xf numFmtId="0" fontId="31" fillId="0" borderId="0" xfId="7" applyFont="1" applyAlignment="1">
      <alignment vertical="center"/>
    </xf>
    <xf numFmtId="0" fontId="31" fillId="0" borderId="0" xfId="7" applyFont="1" applyAlignment="1">
      <alignment horizontal="center" vertical="center"/>
    </xf>
    <xf numFmtId="0" fontId="155" fillId="0" borderId="0" xfId="7" applyFont="1" applyAlignment="1">
      <alignment horizontal="center" vertical="center"/>
    </xf>
    <xf numFmtId="0" fontId="31" fillId="0" borderId="44" xfId="7" applyFont="1" applyBorder="1" applyAlignment="1">
      <alignment horizontal="center" vertical="center"/>
    </xf>
    <xf numFmtId="0" fontId="31" fillId="0" borderId="40" xfId="7" applyFont="1" applyBorder="1" applyAlignment="1">
      <alignment horizontal="center" vertical="center"/>
    </xf>
    <xf numFmtId="20" fontId="31" fillId="0" borderId="24" xfId="7" applyNumberFormat="1" applyFont="1" applyBorder="1" applyAlignment="1">
      <alignment horizontal="center" vertical="center"/>
    </xf>
    <xf numFmtId="20" fontId="31" fillId="0" borderId="25" xfId="7" applyNumberFormat="1" applyFont="1" applyBorder="1" applyAlignment="1">
      <alignment horizontal="center" vertical="center"/>
    </xf>
    <xf numFmtId="0" fontId="31" fillId="48" borderId="44" xfId="7" applyFont="1" applyFill="1" applyBorder="1" applyAlignment="1">
      <alignment horizontal="center" vertical="center"/>
    </xf>
    <xf numFmtId="0" fontId="27" fillId="0" borderId="72" xfId="27" applyFont="1" applyBorder="1" applyAlignment="1">
      <alignment vertical="center"/>
    </xf>
    <xf numFmtId="0" fontId="27" fillId="0" borderId="104" xfId="27" applyFont="1" applyBorder="1" applyAlignment="1">
      <alignment vertical="center"/>
    </xf>
    <xf numFmtId="0" fontId="27" fillId="0" borderId="0" xfId="27" applyFont="1" applyAlignment="1">
      <alignment vertical="center"/>
    </xf>
    <xf numFmtId="0" fontId="27" fillId="0" borderId="115" xfId="27" applyFont="1" applyBorder="1" applyAlignment="1">
      <alignment vertical="center"/>
    </xf>
    <xf numFmtId="0" fontId="27" fillId="0" borderId="73" xfId="27" applyFont="1" applyBorder="1" applyAlignment="1">
      <alignment vertical="center"/>
    </xf>
    <xf numFmtId="0" fontId="27" fillId="0" borderId="90" xfId="27" applyFont="1" applyBorder="1" applyAlignment="1">
      <alignment vertical="center"/>
    </xf>
    <xf numFmtId="0" fontId="154" fillId="11" borderId="123" xfId="28" applyFont="1" applyFill="1" applyBorder="1" applyAlignment="1">
      <alignment horizontal="centerContinuous" vertical="center"/>
    </xf>
    <xf numFmtId="0" fontId="154" fillId="11" borderId="124" xfId="28" applyFont="1" applyFill="1" applyBorder="1" applyAlignment="1">
      <alignment horizontal="centerContinuous" vertical="center"/>
    </xf>
    <xf numFmtId="0" fontId="154" fillId="11" borderId="125" xfId="28" applyFont="1" applyFill="1" applyBorder="1" applyAlignment="1">
      <alignment horizontal="centerContinuous" vertical="center"/>
    </xf>
    <xf numFmtId="22" fontId="14" fillId="57" borderId="25" xfId="4" applyNumberFormat="1" applyFont="1" applyFill="1" applyBorder="1" applyAlignment="1">
      <alignment horizontal="centerContinuous" vertical="center"/>
    </xf>
    <xf numFmtId="0" fontId="149" fillId="57" borderId="71" xfId="28" applyFont="1" applyFill="1" applyBorder="1" applyAlignment="1">
      <alignment horizontal="centerContinuous" vertical="center"/>
    </xf>
    <xf numFmtId="0" fontId="149" fillId="57" borderId="76" xfId="28" applyFont="1" applyFill="1" applyBorder="1" applyAlignment="1">
      <alignment horizontal="centerContinuous" vertical="center"/>
    </xf>
    <xf numFmtId="0" fontId="31" fillId="57" borderId="76" xfId="28" applyFont="1" applyFill="1" applyBorder="1" applyAlignment="1">
      <alignment horizontal="centerContinuous" vertical="center"/>
    </xf>
    <xf numFmtId="0" fontId="31" fillId="57" borderId="77" xfId="28" applyFont="1" applyFill="1" applyBorder="1" applyAlignment="1">
      <alignment horizontal="centerContinuous" vertical="center"/>
    </xf>
    <xf numFmtId="0" fontId="27" fillId="4" borderId="90" xfId="4" applyFont="1" applyFill="1" applyBorder="1" applyAlignment="1">
      <alignment horizontal="center" vertical="center"/>
    </xf>
    <xf numFmtId="0" fontId="27" fillId="4" borderId="214" xfId="4" applyFont="1" applyFill="1" applyBorder="1" applyAlignment="1">
      <alignment vertical="center"/>
    </xf>
    <xf numFmtId="0" fontId="151" fillId="4" borderId="212" xfId="4" applyFont="1" applyFill="1" applyBorder="1" applyAlignment="1">
      <alignment horizontal="left" vertical="center"/>
    </xf>
    <xf numFmtId="0" fontId="154" fillId="4" borderId="212" xfId="4" applyFont="1" applyFill="1" applyBorder="1" applyAlignment="1">
      <alignment horizontal="center" vertical="center"/>
    </xf>
    <xf numFmtId="0" fontId="27" fillId="4" borderId="166" xfId="4" applyFont="1" applyFill="1" applyBorder="1" applyAlignment="1">
      <alignment vertical="center"/>
    </xf>
    <xf numFmtId="0" fontId="154" fillId="4" borderId="0" xfId="4" applyFont="1" applyFill="1" applyBorder="1" applyAlignment="1">
      <alignment horizontal="left" vertical="center"/>
    </xf>
    <xf numFmtId="0" fontId="154" fillId="4" borderId="0" xfId="4" applyFont="1" applyFill="1" applyBorder="1" applyAlignment="1">
      <alignment horizontal="center" vertical="center"/>
    </xf>
    <xf numFmtId="0" fontId="27" fillId="4" borderId="0" xfId="4" applyFont="1" applyFill="1" applyBorder="1" applyAlignment="1">
      <alignment horizontal="center" vertical="center" wrapText="1"/>
    </xf>
    <xf numFmtId="0" fontId="27" fillId="4" borderId="0" xfId="4" applyFont="1" applyFill="1" applyBorder="1" applyAlignment="1">
      <alignment horizontal="left" vertical="center" wrapText="1"/>
    </xf>
    <xf numFmtId="0" fontId="27" fillId="4" borderId="0" xfId="4" applyFont="1" applyFill="1" applyBorder="1" applyAlignment="1">
      <alignment vertical="center"/>
    </xf>
    <xf numFmtId="0" fontId="155" fillId="0" borderId="0" xfId="4" applyFont="1" applyBorder="1" applyAlignment="1">
      <alignment horizontal="center" vertical="center"/>
    </xf>
    <xf numFmtId="0" fontId="27" fillId="0" borderId="0" xfId="4" applyFont="1" applyBorder="1" applyAlignment="1">
      <alignment horizontal="center" vertical="center" wrapText="1"/>
    </xf>
    <xf numFmtId="0" fontId="156" fillId="31" borderId="214" xfId="4" applyFont="1" applyFill="1" applyBorder="1" applyAlignment="1">
      <alignment horizontal="left" vertical="center"/>
    </xf>
    <xf numFmtId="0" fontId="124" fillId="31" borderId="212" xfId="4" applyFont="1" applyFill="1" applyBorder="1" applyAlignment="1">
      <alignment horizontal="center" vertical="center"/>
    </xf>
    <xf numFmtId="0" fontId="124" fillId="31" borderId="215" xfId="4" applyFont="1" applyFill="1" applyBorder="1" applyAlignment="1">
      <alignment horizontal="center" vertical="center"/>
    </xf>
    <xf numFmtId="0" fontId="157" fillId="45" borderId="165" xfId="4" applyFont="1" applyFill="1" applyBorder="1" applyAlignment="1" applyProtection="1">
      <alignment horizontal="left" vertical="center"/>
      <protection locked="0"/>
    </xf>
    <xf numFmtId="0" fontId="27" fillId="0" borderId="0" xfId="4" applyFont="1" applyBorder="1"/>
    <xf numFmtId="0" fontId="31" fillId="4" borderId="0" xfId="4" applyFont="1" applyFill="1" applyBorder="1" applyAlignment="1">
      <alignment vertical="center"/>
    </xf>
    <xf numFmtId="0" fontId="27" fillId="4" borderId="0" xfId="4" applyFont="1" applyFill="1" applyBorder="1"/>
    <xf numFmtId="0" fontId="124" fillId="38" borderId="165" xfId="4" applyFont="1" applyFill="1" applyBorder="1" applyAlignment="1">
      <alignment horizontal="center" vertical="center"/>
    </xf>
    <xf numFmtId="0" fontId="31" fillId="4" borderId="0" xfId="4" applyFont="1" applyFill="1" applyBorder="1" applyAlignment="1">
      <alignment horizontal="left" vertical="center"/>
    </xf>
    <xf numFmtId="0" fontId="35" fillId="5" borderId="165" xfId="4" applyFont="1" applyFill="1" applyBorder="1" applyAlignment="1">
      <alignment horizontal="center" vertical="center"/>
    </xf>
    <xf numFmtId="0" fontId="124" fillId="18" borderId="165" xfId="4" applyFont="1" applyFill="1" applyBorder="1" applyAlignment="1">
      <alignment horizontal="center" vertical="center"/>
    </xf>
    <xf numFmtId="0" fontId="124" fillId="29" borderId="165" xfId="4" applyFont="1" applyFill="1" applyBorder="1" applyAlignment="1">
      <alignment horizontal="center" vertical="center"/>
    </xf>
    <xf numFmtId="0" fontId="35" fillId="49" borderId="165" xfId="4" applyFont="1" applyFill="1" applyBorder="1" applyAlignment="1">
      <alignment horizontal="center" vertical="center"/>
    </xf>
    <xf numFmtId="0" fontId="151" fillId="4" borderId="0" xfId="4" applyFont="1" applyFill="1" applyBorder="1" applyAlignment="1">
      <alignment vertical="center"/>
    </xf>
    <xf numFmtId="0" fontId="33" fillId="4" borderId="0" xfId="4" applyFont="1" applyFill="1" applyBorder="1" applyAlignment="1">
      <alignment horizontal="center" vertical="center" wrapText="1"/>
    </xf>
    <xf numFmtId="0" fontId="31" fillId="4" borderId="0" xfId="4" applyFont="1" applyFill="1" applyBorder="1" applyAlignment="1">
      <alignment horizontal="right" vertical="center"/>
    </xf>
    <xf numFmtId="0" fontId="162" fillId="47" borderId="165" xfId="4" applyFont="1" applyFill="1" applyBorder="1" applyAlignment="1" applyProtection="1">
      <alignment horizontal="center" vertical="center"/>
      <protection locked="0"/>
    </xf>
    <xf numFmtId="170" fontId="151" fillId="24" borderId="216" xfId="24" applyNumberFormat="1" applyFont="1" applyFill="1" applyBorder="1" applyAlignment="1" applyProtection="1">
      <alignment horizontal="center" vertical="center" wrapText="1"/>
      <protection locked="0"/>
    </xf>
    <xf numFmtId="170" fontId="151" fillId="24" borderId="217" xfId="24" applyNumberFormat="1" applyFont="1" applyFill="1" applyBorder="1" applyAlignment="1" applyProtection="1">
      <alignment horizontal="center" vertical="center" wrapText="1"/>
      <protection locked="0"/>
    </xf>
    <xf numFmtId="1" fontId="30" fillId="12" borderId="217" xfId="24" applyNumberFormat="1" applyFont="1" applyFill="1" applyBorder="1" applyAlignment="1" applyProtection="1">
      <alignment horizontal="center" vertical="center" wrapText="1"/>
      <protection locked="0"/>
    </xf>
    <xf numFmtId="170" fontId="30" fillId="21" borderId="218" xfId="4" applyNumberFormat="1" applyFont="1" applyFill="1" applyBorder="1" applyAlignment="1">
      <alignment horizontal="center" vertical="center"/>
    </xf>
    <xf numFmtId="0" fontId="27" fillId="4" borderId="202" xfId="4" applyFont="1" applyFill="1" applyBorder="1" applyAlignment="1">
      <alignment vertical="center"/>
    </xf>
    <xf numFmtId="0" fontId="27" fillId="4" borderId="192" xfId="4" applyFont="1" applyFill="1" applyBorder="1" applyAlignment="1">
      <alignment vertical="center"/>
    </xf>
    <xf numFmtId="0" fontId="27" fillId="14" borderId="205" xfId="4" applyFont="1" applyFill="1" applyBorder="1" applyAlignment="1">
      <alignment vertical="center"/>
    </xf>
    <xf numFmtId="0" fontId="27" fillId="4" borderId="166" xfId="4" applyFont="1" applyFill="1" applyBorder="1"/>
    <xf numFmtId="0" fontId="27" fillId="4" borderId="90" xfId="4" applyFont="1" applyFill="1" applyBorder="1"/>
    <xf numFmtId="0" fontId="31" fillId="4" borderId="0" xfId="4" applyFont="1" applyFill="1" applyBorder="1"/>
    <xf numFmtId="0" fontId="31" fillId="0" borderId="0" xfId="4" applyFont="1" applyBorder="1"/>
    <xf numFmtId="49" fontId="14" fillId="14" borderId="165" xfId="4" applyNumberFormat="1" applyFont="1" applyFill="1" applyBorder="1" applyAlignment="1">
      <alignment horizontal="center" vertical="center"/>
    </xf>
    <xf numFmtId="0" fontId="31" fillId="4" borderId="0" xfId="4" applyFont="1" applyFill="1" applyBorder="1" applyAlignment="1">
      <alignment horizontal="center" vertical="center" wrapText="1"/>
    </xf>
    <xf numFmtId="49" fontId="154" fillId="4" borderId="165" xfId="4" applyNumberFormat="1" applyFont="1" applyFill="1" applyBorder="1" applyAlignment="1">
      <alignment horizontal="center" vertical="center"/>
    </xf>
    <xf numFmtId="0" fontId="191" fillId="4" borderId="0" xfId="4" applyFont="1" applyFill="1" applyBorder="1" applyAlignment="1">
      <alignment vertical="center"/>
    </xf>
    <xf numFmtId="0" fontId="224" fillId="4" borderId="0" xfId="4" applyFont="1" applyFill="1" applyBorder="1" applyAlignment="1">
      <alignment horizontal="center" vertical="center" wrapText="1"/>
    </xf>
    <xf numFmtId="0" fontId="191" fillId="4" borderId="0" xfId="4" applyFont="1" applyFill="1" applyBorder="1" applyAlignment="1">
      <alignment horizontal="center" vertical="center" wrapText="1"/>
    </xf>
    <xf numFmtId="0" fontId="191" fillId="4" borderId="0" xfId="4" applyFont="1" applyFill="1" applyBorder="1"/>
    <xf numFmtId="0" fontId="191" fillId="4" borderId="0" xfId="4" applyFont="1" applyFill="1" applyBorder="1" applyAlignment="1">
      <alignment horizontal="right" vertical="center"/>
    </xf>
    <xf numFmtId="0" fontId="182" fillId="47" borderId="165" xfId="4" applyFont="1" applyFill="1" applyBorder="1" applyAlignment="1" applyProtection="1">
      <alignment horizontal="center" vertical="center"/>
      <protection locked="0"/>
    </xf>
    <xf numFmtId="170" fontId="154" fillId="24" borderId="216" xfId="24" applyNumberFormat="1" applyFont="1" applyFill="1" applyBorder="1" applyAlignment="1" applyProtection="1">
      <alignment horizontal="center" vertical="center" wrapText="1"/>
      <protection locked="0"/>
    </xf>
    <xf numFmtId="170" fontId="154" fillId="24" borderId="217" xfId="24" applyNumberFormat="1" applyFont="1" applyFill="1" applyBorder="1" applyAlignment="1" applyProtection="1">
      <alignment horizontal="center" vertical="center" wrapText="1"/>
      <protection locked="0"/>
    </xf>
    <xf numFmtId="1" fontId="191" fillId="12" borderId="217" xfId="24" applyNumberFormat="1" applyFont="1" applyFill="1" applyBorder="1" applyAlignment="1" applyProtection="1">
      <alignment horizontal="center" vertical="center" wrapText="1"/>
      <protection locked="0"/>
    </xf>
    <xf numFmtId="170" fontId="191" fillId="21" borderId="218" xfId="4" applyNumberFormat="1" applyFont="1" applyFill="1" applyBorder="1" applyAlignment="1">
      <alignment horizontal="center" vertical="center"/>
    </xf>
    <xf numFmtId="0" fontId="154" fillId="4" borderId="0" xfId="4" applyFont="1" applyFill="1" applyBorder="1" applyAlignment="1">
      <alignment vertical="center"/>
    </xf>
    <xf numFmtId="0" fontId="191" fillId="0" borderId="0" xfId="4" applyFont="1" applyBorder="1"/>
    <xf numFmtId="0" fontId="154" fillId="4" borderId="165" xfId="4" applyFont="1" applyFill="1" applyBorder="1" applyAlignment="1">
      <alignment horizontal="center" vertical="center"/>
    </xf>
    <xf numFmtId="0" fontId="240" fillId="47" borderId="165" xfId="4" applyFont="1" applyFill="1" applyBorder="1" applyAlignment="1" applyProtection="1">
      <alignment horizontal="center" vertical="center"/>
      <protection locked="0"/>
    </xf>
    <xf numFmtId="170" fontId="240" fillId="24" borderId="216" xfId="24" applyNumberFormat="1" applyFont="1" applyFill="1" applyBorder="1" applyAlignment="1" applyProtection="1">
      <alignment horizontal="center" vertical="center" wrapText="1"/>
      <protection locked="0"/>
    </xf>
    <xf numFmtId="170" fontId="240" fillId="24" borderId="217" xfId="24" applyNumberFormat="1" applyFont="1" applyFill="1" applyBorder="1" applyAlignment="1" applyProtection="1">
      <alignment horizontal="center" vertical="center" wrapText="1"/>
      <protection locked="0"/>
    </xf>
    <xf numFmtId="1" fontId="277" fillId="12" borderId="217" xfId="24" applyNumberFormat="1" applyFont="1" applyFill="1" applyBorder="1" applyAlignment="1" applyProtection="1">
      <alignment horizontal="center" vertical="center" wrapText="1"/>
      <protection locked="0"/>
    </xf>
    <xf numFmtId="170" fontId="277" fillId="21" borderId="218" xfId="4" applyNumberFormat="1" applyFont="1" applyFill="1" applyBorder="1" applyAlignment="1">
      <alignment horizontal="center" vertical="center"/>
    </xf>
    <xf numFmtId="49" fontId="154" fillId="4" borderId="165" xfId="4" applyNumberFormat="1" applyFont="1" applyFill="1" applyBorder="1" applyAlignment="1">
      <alignment horizontal="center" vertical="center" wrapText="1"/>
    </xf>
    <xf numFmtId="0" fontId="154" fillId="4" borderId="165" xfId="4" applyFont="1" applyFill="1" applyBorder="1" applyAlignment="1">
      <alignment horizontal="center" vertical="center" wrapText="1"/>
    </xf>
    <xf numFmtId="0" fontId="154" fillId="0" borderId="165" xfId="4" applyFont="1" applyBorder="1" applyAlignment="1">
      <alignment horizontal="center" vertical="center" wrapText="1"/>
    </xf>
    <xf numFmtId="0" fontId="191" fillId="4" borderId="0" xfId="4" applyFont="1" applyFill="1" applyBorder="1" applyAlignment="1" applyProtection="1">
      <alignment horizontal="right" vertical="center"/>
      <protection locked="0"/>
    </xf>
    <xf numFmtId="49" fontId="154" fillId="0" borderId="165" xfId="4" applyNumberFormat="1" applyFont="1" applyBorder="1" applyAlignment="1">
      <alignment horizontal="center" vertical="center" wrapText="1"/>
    </xf>
    <xf numFmtId="0" fontId="154" fillId="4" borderId="0" xfId="4" applyFont="1" applyFill="1" applyBorder="1" applyAlignment="1">
      <alignment horizontal="right" vertical="center"/>
    </xf>
    <xf numFmtId="0" fontId="14" fillId="4" borderId="0" xfId="4" applyFont="1" applyFill="1" applyBorder="1" applyAlignment="1">
      <alignment horizontal="center" vertical="center"/>
    </xf>
    <xf numFmtId="1" fontId="34" fillId="46" borderId="165" xfId="4" applyNumberFormat="1" applyFont="1" applyFill="1" applyBorder="1" applyAlignment="1">
      <alignment horizontal="left" vertical="center"/>
    </xf>
    <xf numFmtId="0" fontId="31" fillId="4" borderId="90" xfId="4" applyFont="1" applyFill="1" applyBorder="1" applyAlignment="1">
      <alignment horizontal="center" vertical="center"/>
    </xf>
    <xf numFmtId="0" fontId="31" fillId="4" borderId="90" xfId="4" applyFont="1" applyFill="1" applyBorder="1"/>
    <xf numFmtId="1" fontId="125" fillId="36" borderId="165" xfId="26" applyNumberFormat="1" applyFont="1" applyFill="1" applyBorder="1" applyAlignment="1">
      <alignment horizontal="left" vertical="center"/>
    </xf>
    <xf numFmtId="0" fontId="31" fillId="4" borderId="90" xfId="4" applyFont="1" applyFill="1" applyBorder="1" applyAlignment="1">
      <alignment vertical="center"/>
    </xf>
    <xf numFmtId="0" fontId="31" fillId="0" borderId="165" xfId="4" applyFont="1" applyBorder="1" applyAlignment="1">
      <alignment horizontal="left" vertical="center"/>
    </xf>
    <xf numFmtId="0" fontId="31" fillId="0" borderId="165" xfId="4" applyFont="1" applyBorder="1" applyAlignment="1">
      <alignment horizontal="center" vertical="center"/>
    </xf>
    <xf numFmtId="1" fontId="239" fillId="24" borderId="165" xfId="4" applyNumberFormat="1" applyFont="1" applyFill="1" applyBorder="1" applyAlignment="1" applyProtection="1">
      <alignment horizontal="center" vertical="center"/>
      <protection locked="0"/>
    </xf>
    <xf numFmtId="0" fontId="14" fillId="21" borderId="126" xfId="4" applyFont="1" applyFill="1" applyBorder="1" applyAlignment="1">
      <alignment horizontal="center" vertical="center"/>
    </xf>
    <xf numFmtId="0" fontId="31" fillId="4" borderId="133" xfId="4" applyFont="1" applyFill="1" applyBorder="1" applyAlignment="1">
      <alignment vertical="center"/>
    </xf>
    <xf numFmtId="0" fontId="191" fillId="44" borderId="165" xfId="23" applyFont="1" applyFill="1" applyBorder="1" applyAlignment="1">
      <alignment horizontal="center" vertical="center"/>
    </xf>
    <xf numFmtId="0" fontId="191" fillId="4" borderId="0" xfId="4" applyFont="1" applyFill="1" applyBorder="1" applyAlignment="1">
      <alignment horizontal="left" vertical="center"/>
    </xf>
    <xf numFmtId="0" fontId="191" fillId="4" borderId="165" xfId="4" applyFont="1" applyFill="1" applyBorder="1" applyAlignment="1">
      <alignment horizontal="center" vertical="center"/>
    </xf>
    <xf numFmtId="0" fontId="156" fillId="18" borderId="165" xfId="4" applyFont="1" applyFill="1" applyBorder="1" applyAlignment="1">
      <alignment horizontal="center" vertical="center"/>
    </xf>
    <xf numFmtId="0" fontId="130" fillId="4" borderId="0" xfId="29" applyFont="1" applyFill="1" applyAlignment="1">
      <alignment vertical="center"/>
    </xf>
    <xf numFmtId="0" fontId="171" fillId="4" borderId="156" xfId="34" applyFont="1" applyFill="1" applyBorder="1"/>
    <xf numFmtId="0" fontId="278" fillId="4" borderId="0" xfId="0" applyFont="1" applyFill="1" applyAlignment="1">
      <alignment vertical="center"/>
    </xf>
    <xf numFmtId="0" fontId="279" fillId="9" borderId="0" xfId="7" applyFont="1" applyFill="1" applyAlignment="1">
      <alignment vertical="center"/>
    </xf>
    <xf numFmtId="0" fontId="280" fillId="9" borderId="0" xfId="7" applyFont="1" applyFill="1" applyAlignment="1">
      <alignment horizontal="right" vertical="center"/>
    </xf>
    <xf numFmtId="0" fontId="149" fillId="57" borderId="82" xfId="31" applyFont="1" applyFill="1" applyBorder="1" applyAlignment="1">
      <alignment horizontal="centerContinuous" vertical="center"/>
    </xf>
    <xf numFmtId="0" fontId="31" fillId="57" borderId="81" xfId="31" applyFont="1" applyFill="1" applyBorder="1" applyAlignment="1">
      <alignment horizontal="centerContinuous" vertical="center"/>
    </xf>
    <xf numFmtId="0" fontId="30" fillId="57" borderId="81" xfId="31" applyFont="1" applyFill="1" applyBorder="1" applyAlignment="1">
      <alignment horizontal="centerContinuous"/>
    </xf>
    <xf numFmtId="0" fontId="30" fillId="57" borderId="84" xfId="31" applyFont="1" applyFill="1" applyBorder="1" applyAlignment="1">
      <alignment horizontal="centerContinuous"/>
    </xf>
    <xf numFmtId="0" fontId="264" fillId="24" borderId="92" xfId="7" applyFont="1" applyFill="1" applyBorder="1" applyAlignment="1">
      <alignment horizontal="centerContinuous" vertical="center"/>
    </xf>
    <xf numFmtId="0" fontId="30" fillId="0" borderId="92" xfId="7" applyFont="1" applyBorder="1"/>
    <xf numFmtId="0" fontId="30" fillId="0" borderId="93" xfId="7" applyFont="1" applyBorder="1"/>
    <xf numFmtId="0" fontId="30" fillId="0" borderId="23" xfId="7" applyFont="1" applyBorder="1"/>
    <xf numFmtId="183" fontId="216" fillId="1" borderId="79" xfId="7" applyNumberFormat="1" applyFont="1" applyFill="1" applyBorder="1" applyAlignment="1">
      <alignment horizontal="center" vertical="center"/>
    </xf>
    <xf numFmtId="20" fontId="129" fillId="0" borderId="79" xfId="7" applyNumberFormat="1" applyFont="1" applyBorder="1" applyAlignment="1" applyProtection="1">
      <alignment horizontal="center" vertical="center" wrapText="1"/>
      <protection locked="0"/>
    </xf>
    <xf numFmtId="20" fontId="281" fillId="0" borderId="79" xfId="7" applyNumberFormat="1" applyFont="1" applyBorder="1" applyAlignment="1" applyProtection="1">
      <alignment horizontal="center" vertical="center" wrapText="1"/>
      <protection locked="0"/>
    </xf>
    <xf numFmtId="0" fontId="30" fillId="0" borderId="29" xfId="7" applyFont="1" applyBorder="1"/>
    <xf numFmtId="0" fontId="30" fillId="0" borderId="42" xfId="7" applyFont="1" applyBorder="1"/>
    <xf numFmtId="0" fontId="30" fillId="0" borderId="72" xfId="7" applyFont="1" applyBorder="1"/>
    <xf numFmtId="0" fontId="30" fillId="0" borderId="36" xfId="7" applyFont="1" applyBorder="1"/>
    <xf numFmtId="0" fontId="258" fillId="11" borderId="24" xfId="7" applyFont="1" applyFill="1" applyBorder="1" applyAlignment="1">
      <alignment horizontal="center" vertical="center"/>
    </xf>
    <xf numFmtId="170" fontId="282" fillId="38" borderId="14" xfId="7" applyNumberFormat="1" applyFont="1" applyFill="1" applyBorder="1" applyAlignment="1" applyProtection="1">
      <alignment horizontal="center" vertical="center" wrapText="1"/>
      <protection locked="0"/>
    </xf>
    <xf numFmtId="170" fontId="265" fillId="37" borderId="14" xfId="7" applyNumberFormat="1" applyFont="1" applyFill="1" applyBorder="1" applyAlignment="1">
      <alignment horizontal="center" vertical="center"/>
    </xf>
    <xf numFmtId="20" fontId="283" fillId="37" borderId="14" xfId="7" applyNumberFormat="1" applyFont="1" applyFill="1" applyBorder="1" applyAlignment="1" applyProtection="1">
      <alignment horizontal="centerContinuous" vertical="center" wrapText="1"/>
      <protection locked="0"/>
    </xf>
    <xf numFmtId="170" fontId="282" fillId="38" borderId="25" xfId="7" applyNumberFormat="1" applyFont="1" applyFill="1" applyBorder="1" applyAlignment="1" applyProtection="1">
      <alignment horizontal="center" vertical="center" wrapText="1"/>
      <protection locked="0"/>
    </xf>
    <xf numFmtId="0" fontId="284" fillId="0" borderId="48" xfId="7" applyFont="1" applyBorder="1" applyAlignment="1">
      <alignment horizontal="left" vertical="center"/>
    </xf>
    <xf numFmtId="0" fontId="30" fillId="0" borderId="80" xfId="7" applyFont="1" applyBorder="1"/>
    <xf numFmtId="0" fontId="30" fillId="0" borderId="78" xfId="7" applyFont="1" applyBorder="1"/>
    <xf numFmtId="0" fontId="30" fillId="37" borderId="14" xfId="7" applyFont="1" applyFill="1" applyBorder="1" applyAlignment="1">
      <alignment horizontal="centerContinuous"/>
    </xf>
    <xf numFmtId="0" fontId="284" fillId="0" borderId="42" xfId="7" applyFont="1" applyBorder="1" applyAlignment="1">
      <alignment horizontal="left" vertical="center"/>
    </xf>
    <xf numFmtId="0" fontId="284" fillId="0" borderId="49" xfId="7" applyFont="1" applyBorder="1" applyAlignment="1">
      <alignment horizontal="right" vertical="center"/>
    </xf>
    <xf numFmtId="0" fontId="259" fillId="11" borderId="24" xfId="7" applyFont="1" applyFill="1" applyBorder="1" applyAlignment="1">
      <alignment horizontal="center" vertical="center"/>
    </xf>
    <xf numFmtId="0" fontId="260" fillId="11" borderId="24" xfId="7" applyFont="1" applyFill="1" applyBorder="1" applyAlignment="1">
      <alignment horizontal="center" vertical="center"/>
    </xf>
    <xf numFmtId="0" fontId="191" fillId="11" borderId="24" xfId="7" applyFont="1" applyFill="1" applyBorder="1" applyAlignment="1">
      <alignment horizontal="center" vertical="center"/>
    </xf>
    <xf numFmtId="0" fontId="30" fillId="37" borderId="14" xfId="7" applyFont="1" applyFill="1" applyBorder="1" applyAlignment="1">
      <alignment horizontal="centerContinuous" vertical="center"/>
    </xf>
    <xf numFmtId="0" fontId="228" fillId="0" borderId="42" xfId="7" applyFont="1" applyBorder="1" applyAlignment="1">
      <alignment horizontal="center" vertical="center"/>
    </xf>
    <xf numFmtId="0" fontId="191" fillId="0" borderId="24" xfId="7" applyFont="1" applyBorder="1" applyAlignment="1">
      <alignment horizontal="center" vertical="center"/>
    </xf>
    <xf numFmtId="170" fontId="149" fillId="0" borderId="14" xfId="7" applyNumberFormat="1" applyFont="1" applyBorder="1" applyAlignment="1" applyProtection="1">
      <alignment horizontal="center" vertical="center" wrapText="1"/>
      <protection locked="0"/>
    </xf>
    <xf numFmtId="20" fontId="283" fillId="0" borderId="14" xfId="7" applyNumberFormat="1" applyFont="1" applyBorder="1" applyAlignment="1" applyProtection="1">
      <alignment horizontal="centerContinuous" vertical="center" wrapText="1"/>
      <protection locked="0"/>
    </xf>
    <xf numFmtId="0" fontId="30" fillId="0" borderId="14" xfId="7" applyFont="1" applyBorder="1" applyAlignment="1">
      <alignment horizontal="centerContinuous" vertical="center"/>
    </xf>
    <xf numFmtId="170" fontId="149" fillId="0" borderId="25" xfId="7" applyNumberFormat="1" applyFont="1" applyBorder="1" applyAlignment="1" applyProtection="1">
      <alignment horizontal="center" vertical="center" wrapText="1"/>
      <protection locked="0"/>
    </xf>
    <xf numFmtId="0" fontId="30" fillId="0" borderId="100" xfId="7" applyFont="1" applyBorder="1"/>
    <xf numFmtId="0" fontId="30" fillId="0" borderId="101" xfId="7" applyFont="1" applyBorder="1"/>
    <xf numFmtId="0" fontId="30" fillId="0" borderId="102" xfId="7" applyFont="1" applyBorder="1"/>
    <xf numFmtId="0" fontId="11" fillId="21" borderId="92" xfId="7" applyFont="1" applyFill="1" applyBorder="1" applyAlignment="1">
      <alignment horizontal="centerContinuous" vertical="center"/>
    </xf>
    <xf numFmtId="0" fontId="259" fillId="21" borderId="24" xfId="7" applyFont="1" applyFill="1" applyBorder="1" applyAlignment="1">
      <alignment horizontal="center" vertical="center"/>
    </xf>
    <xf numFmtId="0" fontId="191" fillId="21" borderId="14" xfId="7" applyFont="1" applyFill="1" applyBorder="1" applyAlignment="1">
      <alignment horizontal="centerContinuous" vertical="center"/>
    </xf>
    <xf numFmtId="20" fontId="154" fillId="21" borderId="14" xfId="7" applyNumberFormat="1" applyFont="1" applyFill="1" applyBorder="1" applyAlignment="1" applyProtection="1">
      <alignment horizontal="centerContinuous" vertical="center" wrapText="1"/>
      <protection locked="0"/>
    </xf>
    <xf numFmtId="0" fontId="284" fillId="0" borderId="42" xfId="7" applyFont="1" applyBorder="1" applyAlignment="1">
      <alignment horizontal="right" vertical="center"/>
    </xf>
    <xf numFmtId="20" fontId="14" fillId="0" borderId="79" xfId="7" applyNumberFormat="1" applyFont="1" applyBorder="1" applyAlignment="1" applyProtection="1">
      <alignment horizontal="center" vertical="center" wrapText="1"/>
      <protection locked="0"/>
    </xf>
    <xf numFmtId="20" fontId="125" fillId="0" borderId="79" xfId="7" applyNumberFormat="1" applyFont="1" applyBorder="1" applyAlignment="1" applyProtection="1">
      <alignment horizontal="center" vertical="center" wrapText="1"/>
      <protection locked="0"/>
    </xf>
    <xf numFmtId="170" fontId="31" fillId="37" borderId="14" xfId="7" applyNumberFormat="1" applyFont="1" applyFill="1" applyBorder="1" applyAlignment="1">
      <alignment horizontal="center" vertical="center"/>
    </xf>
    <xf numFmtId="20" fontId="154" fillId="0" borderId="79" xfId="7" applyNumberFormat="1" applyFont="1" applyBorder="1" applyAlignment="1" applyProtection="1">
      <alignment horizontal="center" vertical="center" wrapText="1"/>
      <protection locked="0"/>
    </xf>
    <xf numFmtId="20" fontId="206" fillId="0" borderId="79" xfId="7" applyNumberFormat="1" applyFont="1" applyBorder="1" applyAlignment="1" applyProtection="1">
      <alignment horizontal="center" vertical="center" wrapText="1"/>
      <protection locked="0"/>
    </xf>
    <xf numFmtId="170" fontId="268" fillId="37" borderId="14" xfId="7" applyNumberFormat="1" applyFont="1" applyFill="1" applyBorder="1" applyAlignment="1">
      <alignment horizontal="center" vertical="center"/>
    </xf>
    <xf numFmtId="170" fontId="191" fillId="37" borderId="14" xfId="7" applyNumberFormat="1" applyFont="1" applyFill="1" applyBorder="1" applyAlignment="1">
      <alignment horizontal="center" vertical="center"/>
    </xf>
    <xf numFmtId="0" fontId="263" fillId="11" borderId="24" xfId="7" applyFont="1" applyFill="1" applyBorder="1" applyAlignment="1">
      <alignment horizontal="center" vertical="center"/>
    </xf>
    <xf numFmtId="170" fontId="156" fillId="38" borderId="14" xfId="7" applyNumberFormat="1" applyFont="1" applyFill="1" applyBorder="1" applyAlignment="1" applyProtection="1">
      <alignment horizontal="center" vertical="center" wrapText="1"/>
      <protection locked="0"/>
    </xf>
    <xf numFmtId="170" fontId="156" fillId="38" borderId="25" xfId="7" applyNumberFormat="1" applyFont="1" applyFill="1" applyBorder="1" applyAlignment="1" applyProtection="1">
      <alignment horizontal="center" vertical="center" wrapText="1"/>
      <protection locked="0"/>
    </xf>
    <xf numFmtId="170" fontId="154" fillId="0" borderId="14" xfId="7" applyNumberFormat="1" applyFont="1" applyBorder="1" applyAlignment="1" applyProtection="1">
      <alignment horizontal="center" vertical="center" wrapText="1"/>
      <protection locked="0"/>
    </xf>
    <xf numFmtId="170" fontId="191" fillId="0" borderId="14" xfId="7" applyNumberFormat="1" applyFont="1" applyBorder="1" applyAlignment="1">
      <alignment horizontal="center" vertical="center"/>
    </xf>
    <xf numFmtId="0" fontId="263" fillId="0" borderId="91" xfId="7" applyFont="1" applyBorder="1"/>
    <xf numFmtId="0" fontId="263" fillId="0" borderId="92" xfId="7" applyFont="1" applyBorder="1"/>
    <xf numFmtId="0" fontId="263" fillId="0" borderId="93" xfId="7" applyFont="1" applyBorder="1"/>
    <xf numFmtId="0" fontId="261" fillId="0" borderId="91" xfId="7" applyFont="1" applyBorder="1"/>
    <xf numFmtId="0" fontId="262" fillId="21" borderId="92" xfId="7" applyFont="1" applyFill="1" applyBorder="1" applyAlignment="1">
      <alignment horizontal="centerContinuous" vertical="center"/>
    </xf>
    <xf numFmtId="170" fontId="216" fillId="0" borderId="14" xfId="7" applyNumberFormat="1" applyFont="1" applyBorder="1" applyAlignment="1">
      <alignment horizontal="center" vertical="center"/>
    </xf>
    <xf numFmtId="0" fontId="216" fillId="0" borderId="14" xfId="7" applyFont="1" applyBorder="1" applyAlignment="1">
      <alignment horizontal="centerContinuous" vertical="center"/>
    </xf>
    <xf numFmtId="20" fontId="228" fillId="37" borderId="14" xfId="7" applyNumberFormat="1" applyFont="1" applyFill="1" applyBorder="1" applyAlignment="1" applyProtection="1">
      <alignment horizontal="centerContinuous" vertical="center" wrapText="1"/>
      <protection locked="0"/>
    </xf>
    <xf numFmtId="0" fontId="191" fillId="37" borderId="14" xfId="7" applyFont="1" applyFill="1" applyBorder="1" applyAlignment="1">
      <alignment horizontal="centerContinuous" vertical="center"/>
    </xf>
    <xf numFmtId="0" fontId="191" fillId="37" borderId="14" xfId="7" applyFont="1" applyFill="1" applyBorder="1" applyAlignment="1">
      <alignment horizontal="centerContinuous"/>
    </xf>
    <xf numFmtId="0" fontId="228" fillId="0" borderId="42" xfId="7" applyFont="1" applyBorder="1" applyAlignment="1">
      <alignment horizontal="left" vertical="center"/>
    </xf>
    <xf numFmtId="0" fontId="191" fillId="0" borderId="36" xfId="7" applyFont="1" applyBorder="1"/>
    <xf numFmtId="0" fontId="154" fillId="21" borderId="14" xfId="7" applyFont="1" applyFill="1" applyBorder="1" applyAlignment="1">
      <alignment horizontal="centerContinuous" vertical="center"/>
    </xf>
    <xf numFmtId="182" fontId="191" fillId="37" borderId="14" xfId="7" applyNumberFormat="1" applyFont="1" applyFill="1" applyBorder="1" applyAlignment="1">
      <alignment horizontal="center" vertical="center"/>
    </xf>
    <xf numFmtId="0" fontId="217" fillId="11" borderId="24" xfId="7" applyFont="1" applyFill="1" applyBorder="1" applyAlignment="1">
      <alignment horizontal="center" vertical="center"/>
    </xf>
    <xf numFmtId="0" fontId="265" fillId="21" borderId="24" xfId="7" applyFont="1" applyFill="1" applyBorder="1" applyAlignment="1">
      <alignment horizontal="center" vertical="center"/>
    </xf>
    <xf numFmtId="0" fontId="31" fillId="4" borderId="0" xfId="4" applyFont="1" applyFill="1" applyAlignment="1">
      <alignment horizontal="center" vertical="center" wrapText="1"/>
    </xf>
    <xf numFmtId="0" fontId="27" fillId="0" borderId="0" xfId="27" applyFont="1" applyAlignment="1">
      <alignment horizontal="center" vertical="center"/>
    </xf>
    <xf numFmtId="181" fontId="154" fillId="24" borderId="205" xfId="4" applyNumberFormat="1" applyFont="1" applyFill="1" applyBorder="1" applyAlignment="1">
      <alignment horizontal="center" vertical="center"/>
    </xf>
    <xf numFmtId="0" fontId="27" fillId="0" borderId="72" xfId="27" applyFont="1" applyBorder="1" applyAlignment="1">
      <alignment horizontal="center" vertical="center"/>
    </xf>
    <xf numFmtId="0" fontId="27" fillId="0" borderId="0" xfId="27" applyFont="1" applyAlignment="1">
      <alignment horizontal="center" vertical="center" wrapText="1"/>
    </xf>
    <xf numFmtId="170" fontId="154" fillId="4" borderId="0" xfId="4" applyNumberFormat="1" applyFont="1" applyFill="1" applyAlignment="1">
      <alignment horizontal="center" vertical="center"/>
    </xf>
    <xf numFmtId="0" fontId="152" fillId="4" borderId="0" xfId="4" applyFont="1" applyFill="1" applyAlignment="1">
      <alignment horizontal="center" vertical="center" wrapText="1"/>
    </xf>
    <xf numFmtId="0" fontId="149" fillId="11" borderId="0" xfId="28" applyFont="1" applyFill="1" applyBorder="1" applyAlignment="1">
      <alignment horizontal="center" vertical="center"/>
    </xf>
    <xf numFmtId="0" fontId="285" fillId="3" borderId="0" xfId="0" applyFont="1" applyFill="1" applyAlignment="1">
      <alignment horizontal="center" vertical="center"/>
    </xf>
    <xf numFmtId="0" fontId="268" fillId="4" borderId="0" xfId="31" applyFont="1" applyFill="1"/>
    <xf numFmtId="0" fontId="268" fillId="3" borderId="0" xfId="31" applyFont="1" applyFill="1"/>
    <xf numFmtId="0" fontId="268" fillId="3" borderId="0" xfId="31" applyFont="1" applyFill="1" applyAlignment="1">
      <alignment horizontal="right"/>
    </xf>
    <xf numFmtId="0" fontId="108" fillId="3" borderId="0" xfId="1" applyFont="1" applyFill="1"/>
    <xf numFmtId="0" fontId="191" fillId="3" borderId="0" xfId="31" applyFont="1" applyFill="1" applyAlignment="1">
      <alignment vertical="center"/>
    </xf>
    <xf numFmtId="0" fontId="191" fillId="3" borderId="0" xfId="31" applyFont="1" applyFill="1" applyAlignment="1">
      <alignment horizontal="right" vertical="center"/>
    </xf>
    <xf numFmtId="0" fontId="286" fillId="3" borderId="0" xfId="1" applyFont="1" applyFill="1" applyAlignment="1">
      <alignment vertical="center"/>
    </xf>
    <xf numFmtId="0" fontId="36" fillId="0" borderId="0" xfId="13" applyAlignment="1">
      <alignment horizontal="center" vertical="center"/>
    </xf>
    <xf numFmtId="0" fontId="6" fillId="0" borderId="46" xfId="13" applyFont="1" applyBorder="1"/>
    <xf numFmtId="0" fontId="36" fillId="0" borderId="0" xfId="13"/>
    <xf numFmtId="0" fontId="287" fillId="0" borderId="44" xfId="13" applyFont="1" applyBorder="1" applyAlignment="1">
      <alignment horizontal="center" vertical="center"/>
    </xf>
    <xf numFmtId="194" fontId="36" fillId="0" borderId="0" xfId="13" applyNumberFormat="1" applyAlignment="1">
      <alignment horizontal="center" vertical="center"/>
    </xf>
    <xf numFmtId="195" fontId="36" fillId="0" borderId="0" xfId="13" applyNumberFormat="1" applyAlignment="1">
      <alignment horizontal="center" vertical="center"/>
    </xf>
    <xf numFmtId="0" fontId="6" fillId="0" borderId="164" xfId="13" applyFont="1" applyBorder="1"/>
    <xf numFmtId="0" fontId="289" fillId="48" borderId="24" xfId="13" applyFont="1" applyFill="1" applyBorder="1"/>
    <xf numFmtId="196" fontId="289" fillId="48" borderId="220" xfId="13" applyNumberFormat="1" applyFont="1" applyFill="1" applyBorder="1" applyAlignment="1">
      <alignment horizontal="center"/>
    </xf>
    <xf numFmtId="0" fontId="36" fillId="0" borderId="24" xfId="13" applyBorder="1"/>
    <xf numFmtId="197" fontId="36" fillId="0" borderId="220" xfId="13" applyNumberFormat="1" applyBorder="1" applyAlignment="1">
      <alignment horizontal="center"/>
    </xf>
    <xf numFmtId="0" fontId="36" fillId="67" borderId="24" xfId="13" applyFill="1" applyBorder="1"/>
    <xf numFmtId="198" fontId="36" fillId="67" borderId="220" xfId="13" applyNumberFormat="1" applyFill="1" applyBorder="1" applyAlignment="1">
      <alignment horizontal="center"/>
    </xf>
    <xf numFmtId="16" fontId="36" fillId="0" borderId="24" xfId="13" applyNumberFormat="1" applyBorder="1"/>
    <xf numFmtId="0" fontId="6" fillId="0" borderId="222" xfId="13" applyFont="1" applyBorder="1"/>
    <xf numFmtId="186" fontId="36" fillId="0" borderId="0" xfId="13" applyNumberFormat="1" applyAlignment="1">
      <alignment horizontal="center" vertical="center"/>
    </xf>
    <xf numFmtId="0" fontId="1" fillId="3" borderId="0" xfId="1" applyFill="1"/>
    <xf numFmtId="187" fontId="268" fillId="24" borderId="212" xfId="3" applyNumberFormat="1" applyFont="1" applyFill="1" applyBorder="1" applyAlignment="1">
      <alignment horizontal="center"/>
    </xf>
    <xf numFmtId="187" fontId="268" fillId="24" borderId="192" xfId="3" applyNumberFormat="1" applyFont="1" applyFill="1" applyBorder="1" applyAlignment="1">
      <alignment horizontal="center"/>
    </xf>
    <xf numFmtId="0" fontId="230" fillId="0" borderId="15" xfId="0" applyFont="1" applyBorder="1" applyAlignment="1">
      <alignment horizontal="center" vertical="center"/>
    </xf>
    <xf numFmtId="0" fontId="230" fillId="0" borderId="0" xfId="0" applyFont="1" applyBorder="1" applyAlignment="1">
      <alignment horizontal="center" vertical="center"/>
    </xf>
    <xf numFmtId="0" fontId="230" fillId="0" borderId="13" xfId="0" applyFont="1" applyBorder="1" applyAlignment="1">
      <alignment horizontal="center" vertical="center"/>
    </xf>
    <xf numFmtId="0" fontId="30" fillId="4" borderId="0" xfId="3" applyFont="1" applyFill="1" applyAlignment="1">
      <alignment horizontal="right" vertical="center"/>
    </xf>
    <xf numFmtId="0" fontId="151" fillId="4" borderId="0" xfId="3" applyFont="1" applyFill="1" applyAlignment="1">
      <alignment horizontal="center" vertical="center"/>
    </xf>
    <xf numFmtId="14" fontId="8" fillId="4" borderId="227" xfId="0" applyNumberFormat="1" applyFont="1" applyFill="1" applyBorder="1" applyAlignment="1">
      <alignment vertical="center"/>
    </xf>
    <xf numFmtId="14" fontId="8" fillId="4" borderId="7" xfId="0" applyNumberFormat="1" applyFont="1" applyFill="1" applyBorder="1" applyAlignment="1">
      <alignment vertical="center"/>
    </xf>
    <xf numFmtId="0" fontId="152" fillId="0" borderId="139" xfId="3" applyFont="1" applyBorder="1" applyAlignment="1">
      <alignment horizontal="right" vertical="center"/>
    </xf>
    <xf numFmtId="0" fontId="30" fillId="4" borderId="228" xfId="3" applyFont="1" applyFill="1" applyBorder="1"/>
    <xf numFmtId="0" fontId="0" fillId="6" borderId="0" xfId="0" applyFill="1"/>
    <xf numFmtId="0" fontId="288" fillId="4" borderId="46" xfId="13" applyFont="1" applyFill="1" applyBorder="1" applyAlignment="1">
      <alignment horizontal="center" vertical="center"/>
    </xf>
    <xf numFmtId="0" fontId="36" fillId="3" borderId="0" xfId="13" applyFill="1" applyAlignment="1">
      <alignment horizontal="center" vertical="center"/>
    </xf>
    <xf numFmtId="0" fontId="290" fillId="3" borderId="46" xfId="13" applyFont="1" applyFill="1" applyBorder="1" applyAlignment="1">
      <alignment horizontal="center" vertical="center"/>
    </xf>
    <xf numFmtId="0" fontId="36" fillId="9" borderId="44" xfId="13" applyFill="1" applyBorder="1" applyAlignment="1">
      <alignment horizontal="center" vertical="center"/>
    </xf>
    <xf numFmtId="0" fontId="291" fillId="4" borderId="0" xfId="29" applyFont="1" applyFill="1" applyAlignment="1">
      <alignment vertical="center"/>
    </xf>
    <xf numFmtId="0" fontId="292" fillId="4" borderId="0" xfId="29" applyFont="1" applyFill="1" applyAlignment="1">
      <alignment vertical="center"/>
    </xf>
    <xf numFmtId="0" fontId="152" fillId="4" borderId="0" xfId="29" applyFont="1" applyFill="1" applyAlignment="1">
      <alignment vertical="center"/>
    </xf>
    <xf numFmtId="0" fontId="2" fillId="0" borderId="0" xfId="0" applyFont="1"/>
    <xf numFmtId="0" fontId="31" fillId="4" borderId="0" xfId="7" applyFont="1" applyFill="1"/>
    <xf numFmtId="0" fontId="31" fillId="4" borderId="0" xfId="7" applyFont="1" applyFill="1" applyAlignment="1">
      <alignment vertical="center"/>
    </xf>
    <xf numFmtId="0" fontId="14" fillId="4" borderId="0" xfId="7" applyFont="1" applyFill="1" applyAlignment="1">
      <alignment horizontal="centerContinuous" vertical="center"/>
    </xf>
    <xf numFmtId="0" fontId="33" fillId="4" borderId="0" xfId="7" applyFont="1" applyFill="1" applyAlignment="1">
      <alignment horizontal="centerContinuous" vertical="center"/>
    </xf>
    <xf numFmtId="0" fontId="14" fillId="4" borderId="0" xfId="7" applyFont="1" applyFill="1" applyAlignment="1">
      <alignment horizontal="center"/>
    </xf>
    <xf numFmtId="0" fontId="31" fillId="4" borderId="44" xfId="7" applyFont="1" applyFill="1" applyBorder="1" applyAlignment="1">
      <alignment horizontal="center" vertical="center"/>
    </xf>
    <xf numFmtId="20" fontId="31" fillId="4" borderId="24" xfId="7" applyNumberFormat="1" applyFont="1" applyFill="1" applyBorder="1" applyAlignment="1">
      <alignment horizontal="centerContinuous" vertical="center"/>
    </xf>
    <xf numFmtId="20" fontId="31" fillId="4" borderId="25" xfId="7" applyNumberFormat="1" applyFont="1" applyFill="1" applyBorder="1" applyAlignment="1">
      <alignment horizontal="centerContinuous" vertical="center"/>
    </xf>
    <xf numFmtId="0" fontId="155" fillId="4" borderId="0" xfId="7" applyFont="1" applyFill="1" applyAlignment="1">
      <alignment horizontal="center" vertical="center"/>
    </xf>
    <xf numFmtId="0" fontId="31" fillId="4" borderId="40" xfId="7" applyFont="1" applyFill="1" applyBorder="1" applyAlignment="1">
      <alignment horizontal="center" vertical="center"/>
    </xf>
    <xf numFmtId="20" fontId="31" fillId="4" borderId="24" xfId="7" applyNumberFormat="1" applyFont="1" applyFill="1" applyBorder="1" applyAlignment="1">
      <alignment horizontal="center" vertical="center"/>
    </xf>
    <xf numFmtId="20" fontId="31" fillId="4" borderId="25" xfId="7" applyNumberFormat="1" applyFont="1" applyFill="1" applyBorder="1" applyAlignment="1">
      <alignment horizontal="center" vertical="center"/>
    </xf>
    <xf numFmtId="0" fontId="31" fillId="4" borderId="0" xfId="7" applyFont="1" applyFill="1" applyAlignment="1">
      <alignment horizontal="center"/>
    </xf>
    <xf numFmtId="0" fontId="31" fillId="4" borderId="11" xfId="7" applyFont="1" applyFill="1" applyBorder="1" applyAlignment="1">
      <alignment horizontal="center" vertical="center"/>
    </xf>
    <xf numFmtId="0" fontId="31" fillId="4" borderId="0" xfId="7" applyFont="1" applyFill="1" applyAlignment="1">
      <alignment horizontal="center" vertical="center"/>
    </xf>
    <xf numFmtId="20" fontId="31" fillId="4" borderId="0" xfId="7" applyNumberFormat="1" applyFont="1" applyFill="1" applyAlignment="1">
      <alignment horizontal="center" vertical="center"/>
    </xf>
    <xf numFmtId="0" fontId="31" fillId="4" borderId="46" xfId="7" applyFont="1" applyFill="1" applyBorder="1" applyAlignment="1">
      <alignment horizontal="center" vertical="center"/>
    </xf>
    <xf numFmtId="0" fontId="31" fillId="4" borderId="24" xfId="7" applyFont="1" applyFill="1" applyBorder="1" applyAlignment="1">
      <alignment horizontal="center" vertical="center"/>
    </xf>
    <xf numFmtId="0" fontId="14" fillId="4" borderId="109" xfId="7" applyFont="1" applyFill="1" applyBorder="1"/>
    <xf numFmtId="0" fontId="31" fillId="4" borderId="0" xfId="7" applyFont="1" applyFill="1" applyAlignment="1">
      <alignment horizontal="centerContinuous" vertical="center"/>
    </xf>
    <xf numFmtId="20" fontId="31" fillId="4" borderId="0" xfId="7" applyNumberFormat="1" applyFont="1" applyFill="1" applyAlignment="1">
      <alignment horizontal="centerContinuous" vertical="center"/>
    </xf>
    <xf numFmtId="0" fontId="185" fillId="0" borderId="235" xfId="38" applyFont="1" applyFill="1" applyBorder="1" applyAlignment="1">
      <alignment horizontal="center" vertical="center" wrapText="1"/>
    </xf>
    <xf numFmtId="170" fontId="163" fillId="24" borderId="239" xfId="28" applyNumberFormat="1" applyFont="1" applyFill="1" applyBorder="1" applyAlignment="1">
      <alignment horizontal="center" vertical="center"/>
    </xf>
    <xf numFmtId="170" fontId="163" fillId="24" borderId="243" xfId="28" applyNumberFormat="1" applyFont="1" applyFill="1" applyBorder="1" applyAlignment="1">
      <alignment horizontal="center" vertical="center"/>
    </xf>
    <xf numFmtId="170" fontId="163" fillId="24" borderId="247" xfId="28" applyNumberFormat="1" applyFont="1" applyFill="1" applyBorder="1" applyAlignment="1">
      <alignment horizontal="center" vertical="center"/>
    </xf>
    <xf numFmtId="0" fontId="163" fillId="24" borderId="248" xfId="35" applyFont="1" applyFill="1" applyBorder="1" applyAlignment="1">
      <alignment horizontal="center" vertical="center"/>
    </xf>
    <xf numFmtId="170" fontId="163" fillId="24" borderId="249" xfId="28" applyNumberFormat="1" applyFont="1" applyFill="1" applyBorder="1" applyAlignment="1">
      <alignment horizontal="left" vertical="center"/>
    </xf>
    <xf numFmtId="0" fontId="163" fillId="24" borderId="250" xfId="35" applyFont="1" applyFill="1" applyBorder="1" applyAlignment="1">
      <alignment horizontal="center" vertical="center"/>
    </xf>
    <xf numFmtId="170" fontId="163" fillId="24" borderId="251" xfId="28" applyNumberFormat="1" applyFont="1" applyFill="1" applyBorder="1" applyAlignment="1">
      <alignment horizontal="center" vertical="center"/>
    </xf>
    <xf numFmtId="167" fontId="190" fillId="0" borderId="252" xfId="34" applyNumberFormat="1" applyFont="1" applyBorder="1" applyAlignment="1">
      <alignment vertical="center" textRotation="90"/>
    </xf>
    <xf numFmtId="0" fontId="31" fillId="0" borderId="212" xfId="33" applyFont="1" applyBorder="1" applyAlignment="1">
      <alignment horizontal="centerContinuous" vertical="center"/>
    </xf>
    <xf numFmtId="0" fontId="31" fillId="0" borderId="215" xfId="33" applyFont="1" applyBorder="1" applyAlignment="1">
      <alignment horizontal="centerContinuous" vertical="center"/>
    </xf>
    <xf numFmtId="0" fontId="27" fillId="24" borderId="256" xfId="33" applyFont="1" applyFill="1" applyBorder="1" applyAlignment="1">
      <alignment vertical="center"/>
    </xf>
    <xf numFmtId="0" fontId="27" fillId="24" borderId="259" xfId="33" applyFont="1" applyFill="1" applyBorder="1" applyAlignment="1">
      <alignment vertical="center"/>
    </xf>
    <xf numFmtId="0" fontId="27" fillId="24" borderId="257" xfId="33" applyFont="1" applyFill="1" applyBorder="1" applyAlignment="1">
      <alignment vertical="center"/>
    </xf>
    <xf numFmtId="0" fontId="27" fillId="24" borderId="183" xfId="33" applyFont="1" applyFill="1" applyBorder="1" applyAlignment="1">
      <alignment vertical="center"/>
    </xf>
    <xf numFmtId="0" fontId="27" fillId="24" borderId="184" xfId="33" applyFont="1" applyFill="1" applyBorder="1" applyAlignment="1">
      <alignment vertical="center"/>
    </xf>
    <xf numFmtId="0" fontId="27" fillId="24" borderId="262" xfId="33" applyFont="1" applyFill="1" applyBorder="1" applyAlignment="1">
      <alignment vertical="center"/>
    </xf>
    <xf numFmtId="0" fontId="27" fillId="24" borderId="0" xfId="33" applyFont="1" applyFill="1" applyBorder="1" applyAlignment="1">
      <alignment vertical="center"/>
    </xf>
    <xf numFmtId="0" fontId="154" fillId="11" borderId="266" xfId="33" applyFont="1" applyFill="1" applyBorder="1" applyAlignment="1">
      <alignment horizontal="centerContinuous" vertical="center"/>
    </xf>
    <xf numFmtId="0" fontId="129" fillId="11" borderId="267" xfId="33" applyFont="1" applyFill="1" applyBorder="1" applyAlignment="1">
      <alignment horizontal="centerContinuous" vertical="center"/>
    </xf>
    <xf numFmtId="0" fontId="153" fillId="11" borderId="267" xfId="33" applyFont="1" applyFill="1" applyBorder="1" applyAlignment="1">
      <alignment horizontal="centerContinuous" vertical="center"/>
    </xf>
    <xf numFmtId="0" fontId="149" fillId="11" borderId="267" xfId="33" applyFont="1" applyFill="1" applyBorder="1" applyAlignment="1">
      <alignment horizontal="centerContinuous" vertical="center"/>
    </xf>
    <xf numFmtId="0" fontId="149" fillId="11" borderId="268" xfId="33" applyFont="1" applyFill="1" applyBorder="1" applyAlignment="1">
      <alignment horizontal="centerContinuous" vertical="center"/>
    </xf>
    <xf numFmtId="0" fontId="30" fillId="0" borderId="262" xfId="35" applyFont="1" applyBorder="1" applyAlignment="1">
      <alignment horizontal="centerContinuous" vertical="center"/>
    </xf>
    <xf numFmtId="0" fontId="30" fillId="0" borderId="0" xfId="35" applyFont="1" applyBorder="1" applyAlignment="1">
      <alignment horizontal="centerContinuous" vertical="center"/>
    </xf>
    <xf numFmtId="0" fontId="30" fillId="0" borderId="90" xfId="35" applyFont="1" applyBorder="1" applyAlignment="1">
      <alignment horizontal="centerContinuous" vertical="center"/>
    </xf>
    <xf numFmtId="0" fontId="124" fillId="29" borderId="269" xfId="35" applyFont="1" applyFill="1" applyBorder="1" applyAlignment="1">
      <alignment horizontal="centerContinuous" vertical="center"/>
    </xf>
    <xf numFmtId="0" fontId="205" fillId="29" borderId="270" xfId="35" applyFont="1" applyFill="1" applyBorder="1" applyAlignment="1">
      <alignment horizontal="centerContinuous" vertical="center"/>
    </xf>
    <xf numFmtId="0" fontId="175" fillId="37" borderId="271" xfId="35" applyFont="1" applyFill="1" applyBorder="1" applyAlignment="1">
      <alignment horizontal="center" vertical="center"/>
    </xf>
    <xf numFmtId="0" fontId="151" fillId="37" borderId="272" xfId="35" applyFont="1" applyFill="1" applyBorder="1" applyAlignment="1">
      <alignment horizontal="center" vertical="center"/>
    </xf>
    <xf numFmtId="0" fontId="150" fillId="0" borderId="0" xfId="35" applyFont="1" applyBorder="1" applyAlignment="1">
      <alignment vertical="center"/>
    </xf>
    <xf numFmtId="0" fontId="175" fillId="11" borderId="271" xfId="35" applyFont="1" applyFill="1" applyBorder="1" applyAlignment="1">
      <alignment horizontal="center" vertical="center"/>
    </xf>
    <xf numFmtId="0" fontId="151" fillId="11" borderId="272" xfId="35" applyFont="1" applyFill="1" applyBorder="1" applyAlignment="1">
      <alignment horizontal="center" vertical="center"/>
    </xf>
    <xf numFmtId="0" fontId="174" fillId="38" borderId="271" xfId="35" applyFont="1" applyFill="1" applyBorder="1" applyAlignment="1">
      <alignment horizontal="center" vertical="center"/>
    </xf>
    <xf numFmtId="0" fontId="178" fillId="38" borderId="273" xfId="35" applyFont="1" applyFill="1" applyBorder="1" applyAlignment="1">
      <alignment horizontal="center" vertical="center"/>
    </xf>
    <xf numFmtId="0" fontId="30" fillId="0" borderId="0" xfId="35" applyFont="1" applyBorder="1" applyAlignment="1">
      <alignment horizontal="left" vertical="center"/>
    </xf>
    <xf numFmtId="0" fontId="179" fillId="0" borderId="271" xfId="35" applyFont="1" applyBorder="1" applyAlignment="1">
      <alignment horizontal="center" vertical="center"/>
    </xf>
    <xf numFmtId="0" fontId="151" fillId="0" borderId="272" xfId="35" applyFont="1" applyBorder="1" applyAlignment="1">
      <alignment horizontal="center" vertical="center"/>
    </xf>
    <xf numFmtId="0" fontId="30" fillId="4" borderId="0" xfId="35" applyFont="1" applyFill="1" applyBorder="1" applyAlignment="1">
      <alignment horizontal="left" vertical="center"/>
    </xf>
    <xf numFmtId="0" fontId="30" fillId="4" borderId="0" xfId="35" applyFont="1" applyFill="1" applyBorder="1"/>
    <xf numFmtId="0" fontId="203" fillId="0" borderId="259" xfId="29" applyFont="1" applyBorder="1" applyAlignment="1">
      <alignment horizontal="left" vertical="center"/>
    </xf>
    <xf numFmtId="0" fontId="151" fillId="0" borderId="257" xfId="35" applyFont="1" applyBorder="1" applyAlignment="1">
      <alignment horizontal="left" vertical="center"/>
    </xf>
    <xf numFmtId="0" fontId="180" fillId="0" borderId="257" xfId="35" applyFont="1" applyBorder="1" applyAlignment="1">
      <alignment horizontal="left" vertical="center"/>
    </xf>
    <xf numFmtId="0" fontId="180" fillId="0" borderId="258" xfId="35" applyFont="1" applyBorder="1" applyAlignment="1">
      <alignment horizontal="center" vertical="center"/>
    </xf>
    <xf numFmtId="187" fontId="181" fillId="24" borderId="259" xfId="35" applyNumberFormat="1" applyFont="1" applyFill="1" applyBorder="1" applyAlignment="1">
      <alignment horizontal="left" vertical="center"/>
    </xf>
    <xf numFmtId="0" fontId="182" fillId="24" borderId="257" xfId="35" applyFont="1" applyFill="1" applyBorder="1" applyAlignment="1">
      <alignment horizontal="center" vertical="center"/>
    </xf>
    <xf numFmtId="0" fontId="30" fillId="4" borderId="0" xfId="35" applyFont="1" applyFill="1" applyBorder="1" applyAlignment="1">
      <alignment horizontal="centerContinuous" vertical="center"/>
    </xf>
    <xf numFmtId="0" fontId="150" fillId="4" borderId="0" xfId="35" applyFont="1" applyFill="1" applyBorder="1" applyAlignment="1">
      <alignment horizontal="centerContinuous" vertical="center"/>
    </xf>
    <xf numFmtId="0" fontId="30" fillId="4" borderId="0" xfId="35" applyFont="1" applyFill="1" applyBorder="1" applyAlignment="1">
      <alignment horizontal="center" vertical="center"/>
    </xf>
    <xf numFmtId="0" fontId="151" fillId="4" borderId="0" xfId="35" applyFont="1" applyFill="1" applyBorder="1" applyAlignment="1">
      <alignment horizontal="center" vertical="center"/>
    </xf>
    <xf numFmtId="0" fontId="182" fillId="4" borderId="0" xfId="35" applyFont="1" applyFill="1" applyBorder="1" applyAlignment="1">
      <alignment horizontal="center" vertical="center"/>
    </xf>
    <xf numFmtId="0" fontId="182" fillId="4" borderId="90" xfId="35" applyFont="1" applyFill="1" applyBorder="1" applyAlignment="1">
      <alignment horizontal="center" vertical="center"/>
    </xf>
    <xf numFmtId="0" fontId="175" fillId="28" borderId="271" xfId="35" applyFont="1" applyFill="1" applyBorder="1" applyAlignment="1">
      <alignment horizontal="center" vertical="center"/>
    </xf>
    <xf numFmtId="0" fontId="30" fillId="28" borderId="272" xfId="35" applyFont="1" applyFill="1" applyBorder="1" applyAlignment="1">
      <alignment horizontal="center" vertical="center"/>
    </xf>
    <xf numFmtId="0" fontId="184" fillId="5" borderId="271" xfId="35" applyFont="1" applyFill="1" applyBorder="1" applyAlignment="1">
      <alignment horizontal="left" vertical="center"/>
    </xf>
    <xf numFmtId="0" fontId="151" fillId="5" borderId="272" xfId="35" applyFont="1" applyFill="1" applyBorder="1" applyAlignment="1">
      <alignment horizontal="center" vertical="center"/>
    </xf>
    <xf numFmtId="0" fontId="27" fillId="0" borderId="0" xfId="35" applyFont="1" applyBorder="1" applyAlignment="1">
      <alignment horizontal="right" vertical="center"/>
    </xf>
    <xf numFmtId="0" fontId="174" fillId="18" borderId="271" xfId="33" applyFont="1" applyFill="1" applyBorder="1" applyAlignment="1">
      <alignment horizontal="center" vertical="center"/>
    </xf>
    <xf numFmtId="0" fontId="178" fillId="18" borderId="273" xfId="35" applyFont="1" applyFill="1" applyBorder="1" applyAlignment="1">
      <alignment horizontal="center" vertical="center"/>
    </xf>
    <xf numFmtId="0" fontId="181" fillId="0" borderId="184" xfId="35" applyFont="1" applyBorder="1" applyAlignment="1">
      <alignment horizontal="right" vertical="center"/>
    </xf>
    <xf numFmtId="0" fontId="181" fillId="0" borderId="184" xfId="35" applyFont="1" applyBorder="1" applyAlignment="1">
      <alignment horizontal="left" vertical="center"/>
    </xf>
    <xf numFmtId="0" fontId="27" fillId="24" borderId="184" xfId="35" applyFont="1" applyFill="1" applyBorder="1" applyAlignment="1">
      <alignment horizontal="left" vertical="center"/>
    </xf>
    <xf numFmtId="0" fontId="182" fillId="24" borderId="184" xfId="35" applyFont="1" applyFill="1" applyBorder="1" applyAlignment="1">
      <alignment horizontal="center" vertical="center"/>
    </xf>
    <xf numFmtId="0" fontId="30" fillId="4" borderId="262" xfId="35" applyFont="1" applyFill="1" applyBorder="1" applyAlignment="1">
      <alignment horizontal="centerContinuous" vertical="center"/>
    </xf>
    <xf numFmtId="0" fontId="30" fillId="4" borderId="90" xfId="35" applyFont="1" applyFill="1" applyBorder="1" applyAlignment="1">
      <alignment horizontal="centerContinuous" vertical="center"/>
    </xf>
    <xf numFmtId="0" fontId="151" fillId="4" borderId="0" xfId="35" applyFont="1" applyFill="1" applyBorder="1" applyAlignment="1">
      <alignment horizontal="left" vertical="center"/>
    </xf>
    <xf numFmtId="0" fontId="30" fillId="4" borderId="90" xfId="35" applyFont="1" applyFill="1" applyBorder="1"/>
    <xf numFmtId="0" fontId="151" fillId="0" borderId="262" xfId="35" applyFont="1" applyBorder="1"/>
    <xf numFmtId="185" fontId="213" fillId="0" borderId="0" xfId="35" applyNumberFormat="1" applyFont="1" applyBorder="1" applyAlignment="1">
      <alignment horizontal="centerContinuous" vertical="center"/>
    </xf>
    <xf numFmtId="0" fontId="177" fillId="0" borderId="0" xfId="35" applyFont="1" applyBorder="1" applyAlignment="1">
      <alignment horizontal="centerContinuous" vertical="center"/>
    </xf>
    <xf numFmtId="0" fontId="214" fillId="0" borderId="0" xfId="34" applyFont="1" applyBorder="1" applyAlignment="1">
      <alignment horizontal="center" vertical="center"/>
    </xf>
    <xf numFmtId="0" fontId="214" fillId="4" borderId="0" xfId="35" applyFont="1" applyFill="1" applyBorder="1" applyAlignment="1">
      <alignment vertical="center"/>
    </xf>
    <xf numFmtId="0" fontId="214" fillId="4" borderId="0" xfId="34" applyFont="1" applyFill="1" applyBorder="1" applyAlignment="1">
      <alignment horizontal="center" vertical="center"/>
    </xf>
    <xf numFmtId="0" fontId="151" fillId="4" borderId="184" xfId="35" applyFont="1" applyFill="1" applyBorder="1"/>
    <xf numFmtId="0" fontId="151" fillId="4" borderId="0" xfId="35" applyFont="1" applyFill="1" applyBorder="1"/>
    <xf numFmtId="185" fontId="213" fillId="4" borderId="0" xfId="35" applyNumberFormat="1" applyFont="1" applyFill="1" applyBorder="1" applyAlignment="1">
      <alignment horizontal="centerContinuous" vertical="center"/>
    </xf>
    <xf numFmtId="0" fontId="177" fillId="4" borderId="0" xfId="35" applyFont="1" applyFill="1" applyBorder="1" applyAlignment="1">
      <alignment horizontal="centerContinuous" vertical="center"/>
    </xf>
    <xf numFmtId="0" fontId="151" fillId="4" borderId="0" xfId="33" applyFont="1" applyFill="1" applyBorder="1" applyAlignment="1" applyProtection="1">
      <alignment vertical="center"/>
      <protection locked="0"/>
    </xf>
    <xf numFmtId="0" fontId="151" fillId="4" borderId="90" xfId="33" applyFont="1" applyFill="1" applyBorder="1" applyAlignment="1" applyProtection="1">
      <alignment vertical="center"/>
      <protection locked="0"/>
    </xf>
    <xf numFmtId="0" fontId="181" fillId="24" borderId="256" xfId="35" applyFont="1" applyFill="1" applyBorder="1" applyAlignment="1">
      <alignment vertical="center"/>
    </xf>
    <xf numFmtId="187" fontId="181" fillId="24" borderId="257" xfId="35" applyNumberFormat="1" applyFont="1" applyFill="1" applyBorder="1" applyAlignment="1">
      <alignment horizontal="right" vertical="center"/>
    </xf>
    <xf numFmtId="187" fontId="181" fillId="24" borderId="271" xfId="35" applyNumberFormat="1" applyFont="1" applyFill="1" applyBorder="1" applyAlignment="1">
      <alignment horizontal="right" vertical="center"/>
    </xf>
    <xf numFmtId="187" fontId="181" fillId="24" borderId="259" xfId="35" applyNumberFormat="1" applyFont="1" applyFill="1" applyBorder="1" applyAlignment="1">
      <alignment horizontal="right" vertical="center"/>
    </xf>
    <xf numFmtId="0" fontId="151" fillId="43" borderId="259" xfId="35" applyFont="1" applyFill="1" applyBorder="1" applyAlignment="1">
      <alignment horizontal="center" vertical="center"/>
    </xf>
    <xf numFmtId="0" fontId="203" fillId="0" borderId="258" xfId="35" applyFont="1" applyBorder="1" applyAlignment="1">
      <alignment horizontal="center" vertical="center"/>
    </xf>
    <xf numFmtId="0" fontId="181" fillId="24" borderId="259" xfId="35" applyFont="1" applyFill="1" applyBorder="1" applyAlignment="1">
      <alignment vertical="center"/>
    </xf>
    <xf numFmtId="0" fontId="203" fillId="0" borderId="260" xfId="35" applyFont="1" applyBorder="1" applyAlignment="1">
      <alignment horizontal="center" vertical="center"/>
    </xf>
    <xf numFmtId="0" fontId="181" fillId="24" borderId="262" xfId="35" applyFont="1" applyFill="1" applyBorder="1" applyAlignment="1">
      <alignment vertical="center"/>
    </xf>
    <xf numFmtId="187" fontId="181" fillId="24" borderId="0" xfId="35" applyNumberFormat="1" applyFont="1" applyFill="1" applyBorder="1" applyAlignment="1">
      <alignment horizontal="right" vertical="center"/>
    </xf>
    <xf numFmtId="0" fontId="176" fillId="56" borderId="90" xfId="35" applyFont="1" applyFill="1" applyBorder="1" applyAlignment="1">
      <alignment horizontal="center" vertical="center"/>
    </xf>
    <xf numFmtId="187" fontId="181" fillId="24" borderId="259" xfId="35" applyNumberFormat="1" applyFont="1" applyFill="1" applyBorder="1" applyAlignment="1">
      <alignment horizontal="centerContinuous" vertical="center"/>
    </xf>
    <xf numFmtId="0" fontId="30" fillId="24" borderId="258" xfId="35" applyFont="1" applyFill="1" applyBorder="1" applyAlignment="1">
      <alignment horizontal="centerContinuous" vertical="center"/>
    </xf>
    <xf numFmtId="0" fontId="176" fillId="57" borderId="90" xfId="35" applyFont="1" applyFill="1" applyBorder="1" applyAlignment="1">
      <alignment horizontal="center" vertical="center"/>
    </xf>
    <xf numFmtId="0" fontId="176" fillId="37" borderId="272" xfId="35" applyFont="1" applyFill="1" applyBorder="1" applyAlignment="1">
      <alignment horizontal="center" vertical="center"/>
    </xf>
    <xf numFmtId="0" fontId="176" fillId="58" borderId="90" xfId="35" applyFont="1" applyFill="1" applyBorder="1" applyAlignment="1">
      <alignment horizontal="center" vertical="center"/>
    </xf>
    <xf numFmtId="0" fontId="210" fillId="3" borderId="90" xfId="35" applyFont="1" applyFill="1" applyBorder="1" applyAlignment="1">
      <alignment horizontal="left" vertical="center"/>
    </xf>
    <xf numFmtId="0" fontId="186" fillId="24" borderId="262" xfId="35" applyFont="1" applyFill="1" applyBorder="1" applyAlignment="1">
      <alignment vertical="center"/>
    </xf>
    <xf numFmtId="187" fontId="187" fillId="24" borderId="0" xfId="35" applyNumberFormat="1" applyFont="1" applyFill="1" applyBorder="1" applyAlignment="1">
      <alignment horizontal="right" vertical="center"/>
    </xf>
    <xf numFmtId="0" fontId="211" fillId="59" borderId="90" xfId="35" applyFont="1" applyFill="1" applyBorder="1" applyAlignment="1">
      <alignment horizontal="center" vertical="center"/>
    </xf>
    <xf numFmtId="0" fontId="188" fillId="24" borderId="183" xfId="35" applyFont="1" applyFill="1" applyBorder="1" applyAlignment="1">
      <alignment vertical="center"/>
    </xf>
    <xf numFmtId="187" fontId="189" fillId="24" borderId="184" xfId="35" applyNumberFormat="1" applyFont="1" applyFill="1" applyBorder="1" applyAlignment="1">
      <alignment horizontal="right" vertical="center"/>
    </xf>
    <xf numFmtId="0" fontId="211" fillId="18" borderId="261" xfId="33" applyFont="1" applyFill="1" applyBorder="1" applyAlignment="1">
      <alignment horizontal="center" vertical="center"/>
    </xf>
    <xf numFmtId="0" fontId="211" fillId="18" borderId="185" xfId="33" applyFont="1" applyFill="1" applyBorder="1" applyAlignment="1">
      <alignment horizontal="center" vertical="center"/>
    </xf>
    <xf numFmtId="0" fontId="183" fillId="24" borderId="274" xfId="35" applyFont="1" applyFill="1" applyBorder="1" applyAlignment="1">
      <alignment vertical="center"/>
    </xf>
    <xf numFmtId="0" fontId="183" fillId="24" borderId="271" xfId="35" applyFont="1" applyFill="1" applyBorder="1" applyAlignment="1">
      <alignment vertical="center"/>
    </xf>
    <xf numFmtId="0" fontId="27" fillId="4" borderId="0" xfId="35" applyFont="1" applyFill="1" applyBorder="1"/>
    <xf numFmtId="185" fontId="213" fillId="4" borderId="262" xfId="35" applyNumberFormat="1" applyFont="1" applyFill="1" applyBorder="1" applyAlignment="1">
      <alignment horizontal="centerContinuous" vertical="center"/>
    </xf>
    <xf numFmtId="0" fontId="183" fillId="24" borderId="276" xfId="35" applyFont="1" applyFill="1" applyBorder="1" applyAlignment="1">
      <alignment vertical="center"/>
    </xf>
    <xf numFmtId="0" fontId="30" fillId="4" borderId="192" xfId="35" applyFont="1" applyFill="1" applyBorder="1"/>
    <xf numFmtId="0" fontId="183" fillId="24" borderId="279" xfId="35" applyFont="1" applyFill="1" applyBorder="1" applyAlignment="1">
      <alignment vertical="center"/>
    </xf>
    <xf numFmtId="0" fontId="30" fillId="9" borderId="79" xfId="34" applyFont="1" applyFill="1" applyBorder="1" applyAlignment="1">
      <alignment horizontal="center" vertical="center"/>
    </xf>
    <xf numFmtId="0" fontId="294" fillId="4" borderId="0" xfId="29" applyFont="1" applyFill="1"/>
    <xf numFmtId="187" fontId="294" fillId="24" borderId="238" xfId="29" applyNumberFormat="1" applyFont="1" applyFill="1" applyBorder="1" applyAlignment="1">
      <alignment horizontal="center" vertical="center"/>
    </xf>
    <xf numFmtId="187" fontId="294" fillId="0" borderId="242" xfId="29" applyNumberFormat="1" applyFont="1" applyBorder="1" applyAlignment="1">
      <alignment horizontal="center" vertical="center"/>
    </xf>
    <xf numFmtId="187" fontId="294" fillId="24" borderId="242" xfId="29" applyNumberFormat="1" applyFont="1" applyFill="1" applyBorder="1" applyAlignment="1">
      <alignment horizontal="center" vertical="center"/>
    </xf>
    <xf numFmtId="187" fontId="203" fillId="24" borderId="238" xfId="29" applyNumberFormat="1" applyFont="1" applyFill="1" applyBorder="1" applyAlignment="1">
      <alignment horizontal="center" vertical="center"/>
    </xf>
    <xf numFmtId="187" fontId="203" fillId="0" borderId="242" xfId="29" applyNumberFormat="1" applyFont="1" applyBorder="1" applyAlignment="1">
      <alignment horizontal="center" vertical="center"/>
    </xf>
    <xf numFmtId="187" fontId="203" fillId="24" borderId="242" xfId="29" applyNumberFormat="1" applyFont="1" applyFill="1" applyBorder="1" applyAlignment="1">
      <alignment horizontal="center" vertical="center"/>
    </xf>
    <xf numFmtId="187" fontId="176" fillId="24" borderId="236" xfId="29" applyNumberFormat="1" applyFont="1" applyFill="1" applyBorder="1" applyAlignment="1">
      <alignment horizontal="center" vertical="center"/>
    </xf>
    <xf numFmtId="187" fontId="176" fillId="0" borderId="240" xfId="29" applyNumberFormat="1" applyFont="1" applyBorder="1" applyAlignment="1">
      <alignment horizontal="center" vertical="center"/>
    </xf>
    <xf numFmtId="187" fontId="176" fillId="24" borderId="240" xfId="29" applyNumberFormat="1" applyFont="1" applyFill="1" applyBorder="1" applyAlignment="1">
      <alignment horizontal="center" vertical="center"/>
    </xf>
    <xf numFmtId="187" fontId="176" fillId="0" borderId="245" xfId="29" applyNumberFormat="1" applyFont="1" applyBorder="1" applyAlignment="1">
      <alignment horizontal="center" vertical="top" wrapText="1"/>
    </xf>
    <xf numFmtId="187" fontId="176" fillId="24" borderId="238" xfId="29" applyNumberFormat="1" applyFont="1" applyFill="1" applyBorder="1" applyAlignment="1">
      <alignment horizontal="center" vertical="center"/>
    </xf>
    <xf numFmtId="187" fontId="176" fillId="0" borderId="242" xfId="29" applyNumberFormat="1" applyFont="1" applyBorder="1" applyAlignment="1">
      <alignment horizontal="center" vertical="center"/>
    </xf>
    <xf numFmtId="187" fontId="176" fillId="24" borderId="242" xfId="29" applyNumberFormat="1" applyFont="1" applyFill="1" applyBorder="1" applyAlignment="1">
      <alignment horizontal="center" vertical="center"/>
    </xf>
    <xf numFmtId="187" fontId="176" fillId="0" borderId="246" xfId="29" applyNumberFormat="1" applyFont="1" applyBorder="1" applyAlignment="1">
      <alignment horizontal="center" vertical="top" wrapText="1"/>
    </xf>
    <xf numFmtId="187" fontId="151" fillId="24" borderId="253" xfId="38" applyNumberFormat="1" applyFont="1" applyFill="1" applyBorder="1" applyAlignment="1">
      <alignment horizontal="left" vertical="center"/>
    </xf>
    <xf numFmtId="187" fontId="151" fillId="24" borderId="254" xfId="38" applyNumberFormat="1" applyFont="1" applyFill="1" applyBorder="1" applyAlignment="1">
      <alignment horizontal="left" vertical="center"/>
    </xf>
    <xf numFmtId="187" fontId="151" fillId="24" borderId="254" xfId="38" applyNumberFormat="1" applyFont="1" applyFill="1" applyBorder="1" applyAlignment="1">
      <alignment horizontal="right" vertical="center"/>
    </xf>
    <xf numFmtId="0" fontId="296" fillId="24" borderId="255" xfId="29" applyFont="1" applyFill="1" applyBorder="1"/>
    <xf numFmtId="187" fontId="167" fillId="24" borderId="254" xfId="38" applyNumberFormat="1" applyFont="1" applyFill="1" applyBorder="1" applyAlignment="1">
      <alignment horizontal="right" vertical="center"/>
    </xf>
    <xf numFmtId="187" fontId="14" fillId="24" borderId="254" xfId="38" applyNumberFormat="1" applyFont="1" applyFill="1" applyBorder="1" applyAlignment="1">
      <alignment horizontal="right" vertical="center"/>
    </xf>
    <xf numFmtId="187" fontId="167" fillId="24" borderId="254" xfId="38" applyNumberFormat="1" applyFont="1" applyFill="1" applyBorder="1" applyAlignment="1">
      <alignment horizontal="left" vertical="center"/>
    </xf>
    <xf numFmtId="170" fontId="167" fillId="24" borderId="254" xfId="28" applyNumberFormat="1" applyFont="1" applyFill="1" applyBorder="1" applyAlignment="1">
      <alignment horizontal="center" vertical="center"/>
    </xf>
    <xf numFmtId="0" fontId="2" fillId="4" borderId="0" xfId="0" applyFont="1" applyFill="1"/>
    <xf numFmtId="0" fontId="248" fillId="4" borderId="0" xfId="1" applyFont="1" applyFill="1"/>
    <xf numFmtId="21" fontId="239" fillId="4" borderId="0" xfId="29" applyNumberFormat="1" applyFont="1" applyFill="1" applyAlignment="1">
      <alignment horizontal="center" vertical="center"/>
    </xf>
    <xf numFmtId="0" fontId="31" fillId="4" borderId="0" xfId="7" applyFont="1" applyFill="1"/>
    <xf numFmtId="0" fontId="31" fillId="4" borderId="0" xfId="7" applyFont="1" applyFill="1" applyAlignment="1">
      <alignment horizontal="center" vertical="center"/>
    </xf>
    <xf numFmtId="0" fontId="97" fillId="20" borderId="0" xfId="16" applyFont="1" applyFill="1" applyAlignment="1" applyProtection="1">
      <alignment horizontal="left" vertical="center"/>
    </xf>
    <xf numFmtId="0" fontId="12" fillId="9" borderId="0" xfId="0" applyFont="1" applyFill="1" applyAlignment="1">
      <alignment horizontal="center" vertical="center"/>
    </xf>
    <xf numFmtId="14" fontId="0" fillId="2" borderId="0" xfId="0" applyNumberFormat="1" applyFont="1" applyFill="1" applyBorder="1" applyAlignment="1">
      <alignment horizontal="center" vertical="center"/>
    </xf>
    <xf numFmtId="0" fontId="7" fillId="8" borderId="0" xfId="0" applyFont="1" applyFill="1" applyAlignment="1">
      <alignment horizontal="left"/>
    </xf>
    <xf numFmtId="0" fontId="8" fillId="6" borderId="0" xfId="0" applyFont="1" applyFill="1" applyAlignment="1">
      <alignment horizontal="left"/>
    </xf>
    <xf numFmtId="0" fontId="7" fillId="7" borderId="0" xfId="0" applyFont="1" applyFill="1" applyAlignment="1">
      <alignment horizontal="left"/>
    </xf>
    <xf numFmtId="0" fontId="8" fillId="9" borderId="0" xfId="0" applyFont="1" applyFill="1" applyAlignment="1">
      <alignment horizontal="center" vertical="center"/>
    </xf>
    <xf numFmtId="0" fontId="14" fillId="9" borderId="0" xfId="0" applyFont="1" applyFill="1" applyAlignment="1">
      <alignment horizontal="center"/>
    </xf>
    <xf numFmtId="0" fontId="14" fillId="9" borderId="0" xfId="0" applyFont="1" applyFill="1" applyAlignment="1">
      <alignment horizontal="center" vertical="center"/>
    </xf>
    <xf numFmtId="0" fontId="2" fillId="4" borderId="0"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116" fillId="40" borderId="0" xfId="0" applyFont="1" applyFill="1" applyAlignment="1">
      <alignment horizontal="center" wrapText="1"/>
    </xf>
    <xf numFmtId="0" fontId="15" fillId="4" borderId="78"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80" xfId="0" applyFont="1" applyFill="1" applyBorder="1" applyAlignment="1">
      <alignment horizontal="center" vertical="center"/>
    </xf>
    <xf numFmtId="0" fontId="235" fillId="4" borderId="0" xfId="0" applyFont="1" applyFill="1" applyAlignment="1">
      <alignment horizontal="center" vertical="center" wrapText="1"/>
    </xf>
    <xf numFmtId="0" fontId="17" fillId="4" borderId="0" xfId="0" applyFont="1" applyFill="1" applyAlignment="1">
      <alignment horizontal="center" vertical="center"/>
    </xf>
    <xf numFmtId="0" fontId="13" fillId="9" borderId="0" xfId="0" applyFont="1" applyFill="1" applyAlignment="1">
      <alignment horizontal="center" vertical="center"/>
    </xf>
    <xf numFmtId="0" fontId="42" fillId="40" borderId="0" xfId="3" applyFont="1" applyFill="1" applyAlignment="1">
      <alignment horizontal="center" vertical="center"/>
    </xf>
    <xf numFmtId="192" fontId="2" fillId="6" borderId="75" xfId="13" applyNumberFormat="1" applyFont="1" applyFill="1" applyBorder="1" applyAlignment="1">
      <alignment horizontal="center" vertical="center"/>
    </xf>
    <xf numFmtId="192" fontId="2" fillId="6" borderId="76" xfId="13" applyNumberFormat="1" applyFont="1" applyFill="1" applyBorder="1" applyAlignment="1">
      <alignment horizontal="center" vertical="center"/>
    </xf>
    <xf numFmtId="192" fontId="2" fillId="6" borderId="77" xfId="13" applyNumberFormat="1" applyFont="1" applyFill="1" applyBorder="1" applyAlignment="1">
      <alignment horizontal="center" vertical="center"/>
    </xf>
    <xf numFmtId="192" fontId="223" fillId="4" borderId="75" xfId="13" applyNumberFormat="1" applyFont="1" applyFill="1" applyBorder="1" applyAlignment="1">
      <alignment horizontal="center" vertical="center"/>
    </xf>
    <xf numFmtId="192" fontId="223" fillId="4" borderId="77" xfId="13" applyNumberFormat="1" applyFont="1" applyFill="1" applyBorder="1" applyAlignment="1">
      <alignment horizontal="center" vertical="center"/>
    </xf>
    <xf numFmtId="0" fontId="7" fillId="54" borderId="142" xfId="13" applyFont="1" applyFill="1" applyBorder="1" applyAlignment="1">
      <alignment horizontal="center" vertical="center"/>
    </xf>
    <xf numFmtId="0" fontId="7" fillId="54" borderId="143" xfId="13" applyFont="1" applyFill="1" applyBorder="1" applyAlignment="1">
      <alignment horizontal="center" vertical="center"/>
    </xf>
    <xf numFmtId="0" fontId="116" fillId="40" borderId="0" xfId="0" applyFont="1" applyFill="1" applyAlignment="1">
      <alignment horizontal="center" vertical="center" wrapText="1"/>
    </xf>
    <xf numFmtId="0" fontId="227" fillId="4" borderId="0" xfId="0" applyFont="1" applyFill="1" applyAlignment="1">
      <alignment horizontal="center" vertical="center" wrapText="1"/>
    </xf>
    <xf numFmtId="0" fontId="20" fillId="11" borderId="211" xfId="7" applyFont="1" applyFill="1" applyBorder="1" applyAlignment="1">
      <alignment horizontal="center" vertical="center"/>
    </xf>
    <xf numFmtId="0" fontId="236" fillId="4" borderId="0" xfId="0" applyFont="1" applyFill="1" applyAlignment="1">
      <alignment horizontal="center" vertical="center" wrapText="1"/>
    </xf>
    <xf numFmtId="0" fontId="236" fillId="4" borderId="21" xfId="0" applyFont="1" applyFill="1" applyBorder="1" applyAlignment="1">
      <alignment horizontal="center" vertical="center" wrapText="1"/>
    </xf>
    <xf numFmtId="0" fontId="14" fillId="11" borderId="24" xfId="4" applyFont="1" applyFill="1" applyBorder="1" applyAlignment="1">
      <alignment horizontal="center" vertical="center"/>
    </xf>
    <xf numFmtId="0" fontId="14" fillId="11" borderId="14" xfId="4" applyFont="1" applyFill="1" applyBorder="1" applyAlignment="1">
      <alignment horizontal="center" vertical="center"/>
    </xf>
    <xf numFmtId="0" fontId="14" fillId="4" borderId="0" xfId="4" applyFont="1" applyFill="1" applyAlignment="1">
      <alignment horizontal="center" vertical="center" wrapText="1"/>
    </xf>
    <xf numFmtId="0" fontId="35" fillId="12" borderId="0" xfId="6" applyFont="1" applyFill="1" applyBorder="1" applyAlignment="1">
      <alignment horizontal="left" vertical="center"/>
    </xf>
    <xf numFmtId="0" fontId="31" fillId="4" borderId="0" xfId="4" applyFont="1" applyFill="1" applyAlignment="1">
      <alignment horizontal="center" vertical="center" wrapText="1"/>
    </xf>
    <xf numFmtId="0" fontId="209" fillId="40" borderId="0" xfId="0" applyFont="1" applyFill="1" applyAlignment="1">
      <alignment horizontal="center" wrapText="1"/>
    </xf>
    <xf numFmtId="0" fontId="237" fillId="4" borderId="0" xfId="0" applyFont="1" applyFill="1" applyAlignment="1">
      <alignment horizontal="center" vertical="center" wrapText="1"/>
    </xf>
    <xf numFmtId="0" fontId="237" fillId="4" borderId="21" xfId="0" applyFont="1" applyFill="1" applyBorder="1" applyAlignment="1">
      <alignment horizontal="center" vertical="center" wrapText="1"/>
    </xf>
    <xf numFmtId="0" fontId="234" fillId="4" borderId="168" xfId="0" applyFont="1" applyFill="1" applyBorder="1" applyAlignment="1">
      <alignment horizontal="center" vertical="center" wrapText="1"/>
    </xf>
    <xf numFmtId="0" fontId="234" fillId="4" borderId="0" xfId="0" applyFont="1" applyFill="1" applyBorder="1" applyAlignment="1">
      <alignment horizontal="center" vertical="center" wrapText="1"/>
    </xf>
    <xf numFmtId="0" fontId="129" fillId="9" borderId="0" xfId="0" applyFont="1" applyFill="1" applyAlignment="1">
      <alignment horizontal="center" vertical="center"/>
    </xf>
    <xf numFmtId="0" fontId="15" fillId="4" borderId="0" xfId="0" applyFont="1" applyFill="1" applyAlignment="1">
      <alignment horizontal="center" vertical="center" wrapText="1"/>
    </xf>
    <xf numFmtId="0" fontId="15" fillId="4" borderId="21" xfId="0" applyFont="1" applyFill="1" applyBorder="1" applyAlignment="1">
      <alignment horizontal="center" vertical="center" wrapText="1"/>
    </xf>
    <xf numFmtId="0" fontId="238" fillId="4" borderId="0" xfId="0" applyFont="1" applyFill="1" applyAlignment="1">
      <alignment horizontal="center" vertical="center" wrapText="1"/>
    </xf>
    <xf numFmtId="0" fontId="238" fillId="4" borderId="184" xfId="0" applyFont="1" applyFill="1" applyBorder="1" applyAlignment="1">
      <alignment horizontal="center" vertical="center" wrapText="1"/>
    </xf>
    <xf numFmtId="0" fontId="12" fillId="9" borderId="219" xfId="0" applyFont="1" applyFill="1" applyBorder="1" applyAlignment="1">
      <alignment horizontal="center" vertical="center"/>
    </xf>
    <xf numFmtId="0" fontId="130" fillId="4" borderId="0" xfId="0" applyFont="1" applyFill="1" applyAlignment="1">
      <alignment horizontal="center" vertical="center" wrapText="1"/>
    </xf>
    <xf numFmtId="0" fontId="130" fillId="4" borderId="21" xfId="0" applyFont="1" applyFill="1" applyBorder="1" applyAlignment="1">
      <alignment horizontal="center" vertical="center" wrapText="1"/>
    </xf>
    <xf numFmtId="0" fontId="191" fillId="4" borderId="0" xfId="4" applyFont="1" applyFill="1" applyAlignment="1">
      <alignment horizontal="center" vertical="center" wrapText="1"/>
    </xf>
    <xf numFmtId="0" fontId="182" fillId="0" borderId="76" xfId="3" applyFont="1" applyBorder="1" applyAlignment="1">
      <alignment horizontal="left" vertical="top"/>
    </xf>
    <xf numFmtId="0" fontId="182" fillId="0" borderId="77" xfId="3" applyFont="1" applyBorder="1" applyAlignment="1">
      <alignment horizontal="left" vertical="top"/>
    </xf>
    <xf numFmtId="0" fontId="182" fillId="0" borderId="0" xfId="3" applyFont="1" applyAlignment="1">
      <alignment horizontal="left" vertical="top"/>
    </xf>
    <xf numFmtId="0" fontId="182" fillId="0" borderId="90" xfId="3" applyFont="1" applyBorder="1" applyAlignment="1">
      <alignment horizontal="left" vertical="top"/>
    </xf>
    <xf numFmtId="0" fontId="182" fillId="0" borderId="111" xfId="3" applyFont="1" applyBorder="1" applyAlignment="1">
      <alignment horizontal="left" vertical="top"/>
    </xf>
    <xf numFmtId="0" fontId="182" fillId="0" borderId="113" xfId="3" applyFont="1" applyBorder="1" applyAlignment="1">
      <alignment horizontal="left" vertical="top"/>
    </xf>
    <xf numFmtId="0" fontId="139" fillId="11" borderId="211" xfId="7" applyFont="1" applyFill="1" applyBorder="1" applyAlignment="1">
      <alignment horizontal="center" vertical="center"/>
    </xf>
    <xf numFmtId="0" fontId="31" fillId="4" borderId="0" xfId="4" applyFont="1" applyFill="1" applyBorder="1" applyAlignment="1">
      <alignment horizontal="left" vertical="center" wrapText="1"/>
    </xf>
    <xf numFmtId="0" fontId="31" fillId="4" borderId="90" xfId="4" applyFont="1" applyFill="1" applyBorder="1" applyAlignment="1">
      <alignment horizontal="left" vertical="center" wrapText="1"/>
    </xf>
    <xf numFmtId="170" fontId="154" fillId="4" borderId="0" xfId="4" applyNumberFormat="1" applyFont="1" applyFill="1" applyAlignment="1">
      <alignment horizontal="center" vertical="center"/>
    </xf>
    <xf numFmtId="181" fontId="154" fillId="24" borderId="202" xfId="4" applyNumberFormat="1" applyFont="1" applyFill="1" applyBorder="1" applyAlignment="1">
      <alignment horizontal="center" vertical="center"/>
    </xf>
    <xf numFmtId="181" fontId="154" fillId="24" borderId="192" xfId="4" applyNumberFormat="1" applyFont="1" applyFill="1" applyBorder="1" applyAlignment="1">
      <alignment horizontal="center" vertical="center"/>
    </xf>
    <xf numFmtId="181" fontId="154" fillId="24" borderId="205" xfId="4" applyNumberFormat="1" applyFont="1" applyFill="1" applyBorder="1" applyAlignment="1">
      <alignment horizontal="center" vertical="center"/>
    </xf>
    <xf numFmtId="191" fontId="154" fillId="0" borderId="75" xfId="3" applyNumberFormat="1" applyFont="1" applyBorder="1" applyAlignment="1">
      <alignment horizontal="center" vertical="center"/>
    </xf>
    <xf numFmtId="191" fontId="154" fillId="0" borderId="43" xfId="3" applyNumberFormat="1" applyFont="1" applyBorder="1" applyAlignment="1">
      <alignment horizontal="center" vertical="center"/>
    </xf>
    <xf numFmtId="0" fontId="27" fillId="0" borderId="0" xfId="27" applyFont="1" applyAlignment="1">
      <alignment horizontal="center" vertical="center"/>
    </xf>
    <xf numFmtId="0" fontId="27" fillId="0" borderId="90" xfId="27" applyFont="1" applyBorder="1" applyAlignment="1">
      <alignment horizontal="center" vertical="center"/>
    </xf>
    <xf numFmtId="0" fontId="27" fillId="0" borderId="120" xfId="27" applyFont="1" applyBorder="1" applyAlignment="1">
      <alignment horizontal="center" vertical="center"/>
    </xf>
    <xf numFmtId="0" fontId="27" fillId="0" borderId="122" xfId="27" applyFont="1" applyBorder="1" applyAlignment="1">
      <alignment horizontal="center" vertical="center"/>
    </xf>
    <xf numFmtId="189" fontId="152" fillId="24" borderId="14" xfId="32" applyNumberFormat="1" applyFont="1" applyFill="1" applyBorder="1" applyAlignment="1">
      <alignment horizontal="center" vertical="center"/>
    </xf>
    <xf numFmtId="190" fontId="129" fillId="24" borderId="14" xfId="32" applyNumberFormat="1" applyFont="1" applyFill="1" applyBorder="1" applyAlignment="1">
      <alignment horizontal="center" vertical="center"/>
    </xf>
    <xf numFmtId="191" fontId="12" fillId="24" borderId="14" xfId="32" applyNumberFormat="1" applyFont="1" applyFill="1" applyBorder="1" applyAlignment="1">
      <alignment horizontal="center" vertical="center"/>
    </xf>
    <xf numFmtId="191" fontId="12" fillId="24" borderId="134" xfId="32" applyNumberFormat="1" applyFont="1" applyFill="1" applyBorder="1" applyAlignment="1">
      <alignment horizontal="center" vertical="center"/>
    </xf>
    <xf numFmtId="0" fontId="152" fillId="4" borderId="0" xfId="4" applyFont="1" applyFill="1" applyAlignment="1">
      <alignment horizontal="center" vertical="center" wrapText="1"/>
    </xf>
    <xf numFmtId="0" fontId="149" fillId="11" borderId="202" xfId="28" applyFont="1" applyFill="1" applyBorder="1" applyAlignment="1">
      <alignment horizontal="center" vertical="center"/>
    </xf>
    <xf numFmtId="0" fontId="149" fillId="11" borderId="192" xfId="28" applyFont="1" applyFill="1" applyBorder="1" applyAlignment="1">
      <alignment horizontal="center" vertical="center"/>
    </xf>
    <xf numFmtId="0" fontId="149" fillId="11" borderId="205" xfId="28" applyFont="1" applyFill="1" applyBorder="1" applyAlignment="1">
      <alignment horizontal="center" vertical="center"/>
    </xf>
    <xf numFmtId="0" fontId="27" fillId="0" borderId="89" xfId="3" applyFont="1" applyBorder="1" applyAlignment="1">
      <alignment horizontal="center" vertical="center"/>
    </xf>
    <xf numFmtId="0" fontId="27" fillId="0" borderId="0" xfId="31" applyFont="1" applyAlignment="1">
      <alignment horizontal="center" vertical="center"/>
    </xf>
    <xf numFmtId="0" fontId="27" fillId="0" borderId="115" xfId="31" applyFont="1" applyBorder="1" applyAlignment="1">
      <alignment horizontal="center" vertical="center"/>
    </xf>
    <xf numFmtId="0" fontId="27" fillId="0" borderId="87" xfId="27" applyFont="1" applyBorder="1" applyAlignment="1">
      <alignment horizontal="center" vertical="center"/>
    </xf>
    <xf numFmtId="0" fontId="202" fillId="4" borderId="0" xfId="29" applyFont="1" applyFill="1" applyAlignment="1">
      <alignment horizontal="left" vertical="center"/>
    </xf>
    <xf numFmtId="0" fontId="27" fillId="0" borderId="115" xfId="27" applyFont="1" applyBorder="1" applyAlignment="1">
      <alignment horizontal="center" vertical="center"/>
    </xf>
    <xf numFmtId="0" fontId="27" fillId="0" borderId="121" xfId="27" applyFont="1" applyBorder="1" applyAlignment="1">
      <alignment horizontal="center" vertical="center"/>
    </xf>
    <xf numFmtId="167" fontId="14" fillId="9" borderId="166" xfId="31" applyNumberFormat="1" applyFont="1" applyFill="1" applyBorder="1" applyAlignment="1">
      <alignment horizontal="center" vertical="center"/>
    </xf>
    <xf numFmtId="167" fontId="14" fillId="9" borderId="0" xfId="31" applyNumberFormat="1" applyFont="1" applyFill="1" applyAlignment="1">
      <alignment horizontal="center" vertical="center"/>
    </xf>
    <xf numFmtId="0" fontId="278" fillId="0" borderId="0" xfId="0" applyFont="1" applyBorder="1" applyAlignment="1">
      <alignment horizontal="center" vertical="center"/>
    </xf>
    <xf numFmtId="0" fontId="278" fillId="0" borderId="13" xfId="0" applyFont="1" applyBorder="1" applyAlignment="1">
      <alignment horizontal="center" vertical="center"/>
    </xf>
    <xf numFmtId="0" fontId="285" fillId="3" borderId="0" xfId="0" applyFont="1" applyFill="1" applyAlignment="1">
      <alignment horizontal="center" vertical="center"/>
    </xf>
    <xf numFmtId="0" fontId="149" fillId="11" borderId="76" xfId="4" applyFont="1" applyFill="1" applyBorder="1" applyAlignment="1">
      <alignment horizontal="center" vertical="center"/>
    </xf>
    <xf numFmtId="0" fontId="149" fillId="11" borderId="0" xfId="4" applyFont="1" applyFill="1" applyBorder="1" applyAlignment="1">
      <alignment horizontal="center" vertical="center"/>
    </xf>
    <xf numFmtId="0" fontId="154" fillId="11" borderId="76" xfId="4" applyFont="1" applyFill="1" applyBorder="1" applyAlignment="1">
      <alignment horizontal="center" vertical="center"/>
    </xf>
    <xf numFmtId="0" fontId="154" fillId="11" borderId="0" xfId="4" applyFont="1" applyFill="1" applyBorder="1" applyAlignment="1">
      <alignment horizontal="center" vertical="center"/>
    </xf>
    <xf numFmtId="22" fontId="149" fillId="11" borderId="76" xfId="4" applyNumberFormat="1" applyFont="1" applyFill="1" applyBorder="1" applyAlignment="1">
      <alignment horizontal="center" vertical="center"/>
    </xf>
    <xf numFmtId="22" fontId="149" fillId="11" borderId="0" xfId="4" applyNumberFormat="1" applyFont="1" applyFill="1" applyBorder="1" applyAlignment="1">
      <alignment horizontal="center" vertical="center"/>
    </xf>
    <xf numFmtId="0" fontId="149" fillId="57" borderId="71" xfId="28" applyFont="1" applyFill="1" applyBorder="1" applyAlignment="1">
      <alignment horizontal="center" vertical="center"/>
    </xf>
    <xf numFmtId="0" fontId="149" fillId="57" borderId="59" xfId="28" applyFont="1" applyFill="1" applyBorder="1" applyAlignment="1">
      <alignment horizontal="center" vertical="center"/>
    </xf>
    <xf numFmtId="0" fontId="149" fillId="57" borderId="88" xfId="28" applyFont="1" applyFill="1" applyBorder="1" applyAlignment="1">
      <alignment horizontal="center" vertical="center"/>
    </xf>
    <xf numFmtId="0" fontId="27" fillId="0" borderId="62" xfId="3" applyFont="1" applyBorder="1" applyAlignment="1">
      <alignment horizontal="center" vertical="center"/>
    </xf>
    <xf numFmtId="0" fontId="30" fillId="0" borderId="72" xfId="31" applyFont="1" applyBorder="1" applyAlignment="1">
      <alignment horizontal="center" vertical="center" wrapText="1"/>
    </xf>
    <xf numFmtId="0" fontId="30" fillId="0" borderId="104" xfId="31" applyFont="1" applyBorder="1" applyAlignment="1">
      <alignment horizontal="center" vertical="center" wrapText="1"/>
    </xf>
    <xf numFmtId="0" fontId="30" fillId="0" borderId="0" xfId="31" applyFont="1" applyAlignment="1">
      <alignment horizontal="center" vertical="center" wrapText="1"/>
    </xf>
    <xf numFmtId="0" fontId="30" fillId="0" borderId="115" xfId="31" applyFont="1" applyBorder="1" applyAlignment="1">
      <alignment horizontal="center" vertical="center" wrapText="1"/>
    </xf>
    <xf numFmtId="0" fontId="27" fillId="0" borderId="72" xfId="27" applyFont="1" applyBorder="1" applyAlignment="1">
      <alignment horizontal="center" vertical="center"/>
    </xf>
    <xf numFmtId="0" fontId="27" fillId="0" borderId="86" xfId="27" applyFont="1" applyBorder="1" applyAlignment="1">
      <alignment horizontal="center" vertical="center"/>
    </xf>
    <xf numFmtId="0" fontId="27" fillId="0" borderId="213" xfId="27" applyFont="1" applyBorder="1" applyAlignment="1">
      <alignment horizontal="center" vertical="center"/>
    </xf>
    <xf numFmtId="0" fontId="27" fillId="0" borderId="197" xfId="27" applyFont="1" applyBorder="1" applyAlignment="1">
      <alignment horizontal="center" vertical="center"/>
    </xf>
    <xf numFmtId="0" fontId="27" fillId="0" borderId="0" xfId="27" applyFont="1" applyBorder="1" applyAlignment="1">
      <alignment horizontal="center" vertical="center"/>
    </xf>
    <xf numFmtId="0" fontId="27" fillId="0" borderId="177" xfId="27" applyFont="1" applyBorder="1" applyAlignment="1">
      <alignment horizontal="center" vertical="center"/>
    </xf>
    <xf numFmtId="0" fontId="226" fillId="4" borderId="0" xfId="29" applyFont="1" applyFill="1" applyAlignment="1">
      <alignment horizontal="left" vertical="center"/>
    </xf>
    <xf numFmtId="0" fontId="31" fillId="0" borderId="0" xfId="31" applyFont="1" applyAlignment="1">
      <alignment horizontal="center" vertical="center"/>
    </xf>
    <xf numFmtId="0" fontId="31" fillId="0" borderId="115" xfId="31" applyFont="1" applyBorder="1" applyAlignment="1">
      <alignment horizontal="center" vertical="center"/>
    </xf>
    <xf numFmtId="0" fontId="27" fillId="0" borderId="0" xfId="27" applyFont="1" applyAlignment="1">
      <alignment horizontal="center" vertical="center" wrapText="1"/>
    </xf>
    <xf numFmtId="0" fontId="27" fillId="0" borderId="87" xfId="27" applyFont="1" applyBorder="1" applyAlignment="1">
      <alignment horizontal="center" vertical="center" wrapText="1"/>
    </xf>
    <xf numFmtId="170" fontId="173" fillId="24" borderId="157" xfId="28" applyNumberFormat="1" applyFont="1" applyFill="1" applyBorder="1" applyAlignment="1">
      <alignment horizontal="center" vertical="center"/>
    </xf>
    <xf numFmtId="0" fontId="173" fillId="0" borderId="233" xfId="38" applyFont="1" applyFill="1" applyBorder="1" applyAlignment="1">
      <alignment horizontal="center" vertical="center"/>
    </xf>
    <xf numFmtId="0" fontId="173" fillId="0" borderId="234" xfId="38" applyFont="1" applyFill="1" applyBorder="1" applyAlignment="1">
      <alignment horizontal="center" vertical="center"/>
    </xf>
    <xf numFmtId="0" fontId="185" fillId="0" borderId="234" xfId="38" applyFont="1" applyFill="1" applyBorder="1" applyAlignment="1">
      <alignment horizontal="center" vertical="center"/>
    </xf>
    <xf numFmtId="0" fontId="295" fillId="0" borderId="234" xfId="38" applyFont="1" applyFill="1" applyBorder="1" applyAlignment="1">
      <alignment horizontal="center" vertical="center"/>
    </xf>
    <xf numFmtId="184" fontId="263" fillId="0" borderId="230" xfId="29" applyNumberFormat="1" applyFont="1" applyBorder="1" applyAlignment="1">
      <alignment horizontal="center" vertical="center"/>
    </xf>
    <xf numFmtId="184" fontId="263" fillId="0" borderId="231" xfId="29" applyNumberFormat="1" applyFont="1" applyBorder="1" applyAlignment="1">
      <alignment horizontal="center" vertical="center"/>
    </xf>
    <xf numFmtId="184" fontId="263" fillId="0" borderId="232" xfId="29" applyNumberFormat="1" applyFont="1" applyBorder="1" applyAlignment="1">
      <alignment horizontal="center" vertical="center"/>
    </xf>
    <xf numFmtId="170" fontId="14" fillId="24" borderId="254" xfId="28" applyNumberFormat="1" applyFont="1" applyFill="1" applyBorder="1" applyAlignment="1">
      <alignment horizontal="center" vertical="center"/>
    </xf>
    <xf numFmtId="184" fontId="263" fillId="0" borderId="229" xfId="29" applyNumberFormat="1" applyFont="1" applyBorder="1" applyAlignment="1">
      <alignment horizontal="center" vertical="center"/>
    </xf>
    <xf numFmtId="184" fontId="263" fillId="0" borderId="247" xfId="29" applyNumberFormat="1" applyFont="1" applyBorder="1" applyAlignment="1">
      <alignment horizontal="center" vertical="center"/>
    </xf>
    <xf numFmtId="170" fontId="234" fillId="24" borderId="0" xfId="28" applyNumberFormat="1" applyFont="1" applyFill="1" applyBorder="1" applyAlignment="1">
      <alignment horizontal="center" vertical="center"/>
    </xf>
    <xf numFmtId="21" fontId="239" fillId="4" borderId="0" xfId="29" applyNumberFormat="1" applyFont="1" applyFill="1" applyAlignment="1">
      <alignment horizontal="center" vertical="center"/>
    </xf>
    <xf numFmtId="170" fontId="173" fillId="0" borderId="78" xfId="36" applyNumberFormat="1" applyFont="1" applyBorder="1" applyAlignment="1">
      <alignment horizontal="center" vertical="center" wrapText="1"/>
    </xf>
    <xf numFmtId="170" fontId="173" fillId="0" borderId="80" xfId="36" applyNumberFormat="1" applyFont="1" applyBorder="1" applyAlignment="1">
      <alignment horizontal="center" vertical="center" wrapText="1"/>
    </xf>
    <xf numFmtId="170" fontId="234" fillId="4" borderId="0" xfId="28" applyNumberFormat="1" applyFont="1" applyFill="1" applyBorder="1" applyAlignment="1">
      <alignment horizontal="center" vertical="center"/>
    </xf>
    <xf numFmtId="184" fontId="151" fillId="48" borderId="89" xfId="37" applyNumberFormat="1" applyFont="1" applyFill="1" applyBorder="1" applyAlignment="1">
      <alignment horizontal="center" vertical="center"/>
    </xf>
    <xf numFmtId="184" fontId="151" fillId="48" borderId="0" xfId="37" applyNumberFormat="1" applyFont="1" applyFill="1" applyAlignment="1">
      <alignment horizontal="center" vertical="center"/>
    </xf>
    <xf numFmtId="184" fontId="178" fillId="39" borderId="89" xfId="37" applyNumberFormat="1" applyFont="1" applyFill="1" applyBorder="1" applyAlignment="1">
      <alignment horizontal="center" vertical="center"/>
    </xf>
    <xf numFmtId="184" fontId="178" fillId="39" borderId="0" xfId="37" applyNumberFormat="1" applyFont="1" applyFill="1" applyAlignment="1">
      <alignment horizontal="center" vertical="center"/>
    </xf>
    <xf numFmtId="0" fontId="206" fillId="18" borderId="0" xfId="34" applyFont="1" applyFill="1" applyAlignment="1">
      <alignment horizontal="center" vertical="center"/>
    </xf>
    <xf numFmtId="0" fontId="180" fillId="30" borderId="127" xfId="35" applyFont="1" applyFill="1" applyBorder="1" applyAlignment="1">
      <alignment horizontal="center" vertical="center"/>
    </xf>
    <xf numFmtId="0" fontId="180" fillId="30" borderId="128" xfId="35" applyFont="1" applyFill="1" applyBorder="1" applyAlignment="1">
      <alignment horizontal="center" vertical="center"/>
    </xf>
    <xf numFmtId="0" fontId="180" fillId="30" borderId="129" xfId="35" applyFont="1" applyFill="1" applyBorder="1" applyAlignment="1">
      <alignment horizontal="center" vertical="center"/>
    </xf>
    <xf numFmtId="170" fontId="173" fillId="0" borderId="277" xfId="36" applyNumberFormat="1" applyFont="1" applyBorder="1" applyAlignment="1">
      <alignment horizontal="center" vertical="center" wrapText="1"/>
    </xf>
    <xf numFmtId="170" fontId="173" fillId="0" borderId="278" xfId="36" applyNumberFormat="1" applyFont="1" applyBorder="1" applyAlignment="1">
      <alignment horizontal="center" vertical="center" wrapText="1"/>
    </xf>
    <xf numFmtId="170" fontId="173" fillId="0" borderId="279" xfId="36" applyNumberFormat="1" applyFont="1" applyBorder="1" applyAlignment="1">
      <alignment horizontal="center" vertical="center" wrapText="1"/>
    </xf>
    <xf numFmtId="170" fontId="173" fillId="0" borderId="271" xfId="36" applyNumberFormat="1" applyFont="1" applyBorder="1" applyAlignment="1">
      <alignment horizontal="center" vertical="center" wrapText="1"/>
    </xf>
    <xf numFmtId="170" fontId="173" fillId="0" borderId="272" xfId="36" applyNumberFormat="1" applyFont="1" applyBorder="1" applyAlignment="1">
      <alignment horizontal="center" vertical="center" wrapText="1"/>
    </xf>
    <xf numFmtId="170" fontId="173" fillId="0" borderId="275" xfId="36" applyNumberFormat="1" applyFont="1" applyBorder="1" applyAlignment="1">
      <alignment horizontal="center" vertical="center" wrapText="1"/>
    </xf>
    <xf numFmtId="184" fontId="178" fillId="39" borderId="262" xfId="37" applyNumberFormat="1" applyFont="1" applyFill="1" applyBorder="1" applyAlignment="1">
      <alignment horizontal="center" vertical="center"/>
    </xf>
    <xf numFmtId="184" fontId="178" fillId="39" borderId="0" xfId="37" applyNumberFormat="1" applyFont="1" applyFill="1" applyBorder="1" applyAlignment="1">
      <alignment horizontal="center" vertical="center"/>
    </xf>
    <xf numFmtId="170" fontId="173" fillId="0" borderId="280" xfId="36" applyNumberFormat="1" applyFont="1" applyBorder="1" applyAlignment="1">
      <alignment horizontal="center" vertical="center" wrapText="1"/>
    </xf>
    <xf numFmtId="0" fontId="125" fillId="18" borderId="0" xfId="34" applyFont="1" applyFill="1" applyAlignment="1">
      <alignment horizontal="center"/>
    </xf>
    <xf numFmtId="15" fontId="180" fillId="30" borderId="42" xfId="35" applyNumberFormat="1" applyFont="1" applyFill="1" applyBorder="1" applyAlignment="1">
      <alignment horizontal="center" vertical="center"/>
    </xf>
    <xf numFmtId="15" fontId="180" fillId="30" borderId="105" xfId="35" applyNumberFormat="1" applyFont="1" applyFill="1" applyBorder="1" applyAlignment="1">
      <alignment horizontal="center" vertical="center"/>
    </xf>
    <xf numFmtId="170" fontId="173" fillId="24" borderId="72" xfId="36" applyNumberFormat="1" applyFont="1" applyFill="1" applyBorder="1" applyAlignment="1">
      <alignment horizontal="center" vertical="center" wrapText="1"/>
    </xf>
    <xf numFmtId="187" fontId="183" fillId="24" borderId="72" xfId="35" applyNumberFormat="1" applyFont="1" applyFill="1" applyBorder="1" applyAlignment="1">
      <alignment horizontal="center" vertical="center"/>
    </xf>
    <xf numFmtId="187" fontId="183" fillId="24" borderId="104" xfId="35" applyNumberFormat="1" applyFont="1" applyFill="1" applyBorder="1" applyAlignment="1">
      <alignment horizontal="center" vertical="center"/>
    </xf>
    <xf numFmtId="0" fontId="27" fillId="24" borderId="74" xfId="29" applyFont="1" applyFill="1" applyBorder="1" applyAlignment="1">
      <alignment horizontal="right" vertical="center"/>
    </xf>
    <xf numFmtId="0" fontId="27" fillId="24" borderId="42" xfId="29" applyFont="1" applyFill="1" applyBorder="1" applyAlignment="1">
      <alignment horizontal="right" vertical="center"/>
    </xf>
    <xf numFmtId="170" fontId="173" fillId="24" borderId="42" xfId="36" applyNumberFormat="1" applyFont="1" applyFill="1" applyBorder="1" applyAlignment="1">
      <alignment horizontal="center" vertical="center" wrapText="1"/>
    </xf>
    <xf numFmtId="170" fontId="173" fillId="24" borderId="105" xfId="36" applyNumberFormat="1" applyFont="1" applyFill="1" applyBorder="1" applyAlignment="1">
      <alignment horizontal="center" vertical="center" wrapText="1"/>
    </xf>
    <xf numFmtId="170" fontId="173" fillId="0" borderId="133" xfId="36" applyNumberFormat="1" applyFont="1" applyBorder="1" applyAlignment="1">
      <alignment horizontal="center" vertical="center" wrapText="1"/>
    </xf>
    <xf numFmtId="170" fontId="173" fillId="0" borderId="115" xfId="36" applyNumberFormat="1" applyFont="1" applyBorder="1" applyAlignment="1">
      <alignment horizontal="center" vertical="center" wrapText="1"/>
    </xf>
    <xf numFmtId="170" fontId="173" fillId="0" borderId="74" xfId="36" applyNumberFormat="1" applyFont="1" applyBorder="1" applyAlignment="1">
      <alignment horizontal="center" vertical="center" wrapText="1"/>
    </xf>
    <xf numFmtId="170" fontId="173" fillId="0" borderId="105" xfId="36" applyNumberFormat="1" applyFont="1" applyBorder="1" applyAlignment="1">
      <alignment horizontal="center" vertical="center" wrapText="1"/>
    </xf>
    <xf numFmtId="170" fontId="173" fillId="0" borderId="36" xfId="36" applyNumberFormat="1" applyFont="1" applyBorder="1" applyAlignment="1">
      <alignment horizontal="center" vertical="center" wrapText="1"/>
    </xf>
    <xf numFmtId="170" fontId="173" fillId="0" borderId="261" xfId="36" applyNumberFormat="1" applyFont="1" applyBorder="1" applyAlignment="1">
      <alignment horizontal="center" vertical="center" wrapText="1"/>
    </xf>
    <xf numFmtId="188" fontId="174" fillId="29" borderId="130" xfId="34" applyNumberFormat="1" applyFont="1" applyFill="1" applyBorder="1" applyAlignment="1">
      <alignment horizontal="center" vertical="center"/>
    </xf>
    <xf numFmtId="188" fontId="174" fillId="29" borderId="0" xfId="34" applyNumberFormat="1" applyFont="1" applyFill="1" applyAlignment="1">
      <alignment horizontal="center" vertical="center"/>
    </xf>
    <xf numFmtId="170" fontId="173" fillId="0" borderId="273" xfId="36" applyNumberFormat="1" applyFont="1" applyBorder="1" applyAlignment="1">
      <alignment horizontal="center" vertical="center" wrapText="1"/>
    </xf>
    <xf numFmtId="0" fontId="174" fillId="31" borderId="256" xfId="33" applyFont="1" applyFill="1" applyBorder="1" applyAlignment="1">
      <alignment horizontal="center" vertical="center"/>
    </xf>
    <xf numFmtId="0" fontId="174" fillId="31" borderId="258" xfId="33" applyFont="1" applyFill="1" applyBorder="1" applyAlignment="1">
      <alignment horizontal="center" vertical="center"/>
    </xf>
    <xf numFmtId="0" fontId="206" fillId="18" borderId="0" xfId="34" applyFont="1" applyFill="1" applyBorder="1" applyAlignment="1">
      <alignment horizontal="center" vertical="center"/>
    </xf>
    <xf numFmtId="170" fontId="173" fillId="24" borderId="257" xfId="36" applyNumberFormat="1" applyFont="1" applyFill="1" applyBorder="1" applyAlignment="1">
      <alignment horizontal="center" vertical="center" wrapText="1"/>
    </xf>
    <xf numFmtId="187" fontId="183" fillId="24" borderId="257" xfId="35" applyNumberFormat="1" applyFont="1" applyFill="1" applyBorder="1" applyAlignment="1">
      <alignment horizontal="center" vertical="center"/>
    </xf>
    <xf numFmtId="187" fontId="183" fillId="24" borderId="260" xfId="35" applyNumberFormat="1" applyFont="1" applyFill="1" applyBorder="1" applyAlignment="1">
      <alignment horizontal="center" vertical="center"/>
    </xf>
    <xf numFmtId="181" fontId="27" fillId="24" borderId="262" xfId="33" applyNumberFormat="1" applyFont="1" applyFill="1" applyBorder="1" applyAlignment="1">
      <alignment horizontal="center" vertical="center"/>
    </xf>
    <xf numFmtId="181" fontId="27" fillId="24" borderId="115" xfId="33" applyNumberFormat="1" applyFont="1" applyFill="1" applyBorder="1" applyAlignment="1">
      <alignment horizontal="center" vertical="center"/>
    </xf>
    <xf numFmtId="181" fontId="27" fillId="24" borderId="183" xfId="33" applyNumberFormat="1" applyFont="1" applyFill="1" applyBorder="1" applyAlignment="1">
      <alignment horizontal="center" vertical="center"/>
    </xf>
    <xf numFmtId="181" fontId="27" fillId="24" borderId="261" xfId="33" applyNumberFormat="1" applyFont="1" applyFill="1" applyBorder="1" applyAlignment="1">
      <alignment horizontal="center" vertical="center"/>
    </xf>
    <xf numFmtId="15" fontId="180" fillId="30" borderId="184" xfId="35" applyNumberFormat="1" applyFont="1" applyFill="1" applyBorder="1" applyAlignment="1">
      <alignment horizontal="center" vertical="center"/>
    </xf>
    <xf numFmtId="15" fontId="180" fillId="30" borderId="261" xfId="35" applyNumberFormat="1" applyFont="1" applyFill="1" applyBorder="1" applyAlignment="1">
      <alignment horizontal="center" vertical="center"/>
    </xf>
    <xf numFmtId="0" fontId="27" fillId="24" borderId="184" xfId="29" applyFont="1" applyFill="1" applyBorder="1" applyAlignment="1">
      <alignment horizontal="right" vertical="center"/>
    </xf>
    <xf numFmtId="0" fontId="170" fillId="24" borderId="257" xfId="33" applyFont="1" applyFill="1" applyBorder="1" applyAlignment="1">
      <alignment horizontal="left" vertical="center"/>
    </xf>
    <xf numFmtId="0" fontId="170" fillId="24" borderId="258" xfId="33" applyFont="1" applyFill="1" applyBorder="1" applyAlignment="1">
      <alignment horizontal="left" vertical="center"/>
    </xf>
    <xf numFmtId="0" fontId="170" fillId="24" borderId="184" xfId="33" applyFont="1" applyFill="1" applyBorder="1" applyAlignment="1">
      <alignment horizontal="left" vertical="center"/>
    </xf>
    <xf numFmtId="0" fontId="170" fillId="24" borderId="261" xfId="33" applyFont="1" applyFill="1" applyBorder="1" applyAlignment="1">
      <alignment horizontal="left" vertical="center"/>
    </xf>
    <xf numFmtId="0" fontId="170" fillId="24" borderId="260" xfId="33" applyFont="1" applyFill="1" applyBorder="1" applyAlignment="1">
      <alignment horizontal="left" vertical="center"/>
    </xf>
    <xf numFmtId="0" fontId="170" fillId="24" borderId="185" xfId="33" applyFont="1" applyFill="1" applyBorder="1" applyAlignment="1">
      <alignment horizontal="left" vertical="center"/>
    </xf>
    <xf numFmtId="0" fontId="170" fillId="24" borderId="263" xfId="33" applyFont="1" applyFill="1" applyBorder="1" applyAlignment="1">
      <alignment horizontal="left" vertical="center"/>
    </xf>
    <xf numFmtId="0" fontId="170" fillId="24" borderId="264" xfId="33" applyFont="1" applyFill="1" applyBorder="1" applyAlignment="1">
      <alignment horizontal="left" vertical="center"/>
    </xf>
    <xf numFmtId="0" fontId="170" fillId="24" borderId="265" xfId="33" applyFont="1" applyFill="1" applyBorder="1" applyAlignment="1">
      <alignment horizontal="left" vertical="center"/>
    </xf>
    <xf numFmtId="0" fontId="202" fillId="4" borderId="0" xfId="29" applyFont="1" applyFill="1" applyAlignment="1">
      <alignment horizontal="center" vertical="center"/>
    </xf>
    <xf numFmtId="170" fontId="173" fillId="24" borderId="184" xfId="36" applyNumberFormat="1" applyFont="1" applyFill="1" applyBorder="1" applyAlignment="1">
      <alignment horizontal="center" vertical="center" wrapText="1"/>
    </xf>
    <xf numFmtId="170" fontId="173" fillId="24" borderId="185" xfId="36" applyNumberFormat="1" applyFont="1" applyFill="1" applyBorder="1" applyAlignment="1">
      <alignment horizontal="center" vertical="center" wrapText="1"/>
    </xf>
    <xf numFmtId="184" fontId="173" fillId="48" borderId="262" xfId="37" applyNumberFormat="1" applyFont="1" applyFill="1" applyBorder="1" applyAlignment="1">
      <alignment horizontal="center" vertical="center"/>
    </xf>
    <xf numFmtId="184" fontId="173" fillId="48" borderId="0" xfId="37" applyNumberFormat="1" applyFont="1" applyFill="1" applyBorder="1" applyAlignment="1">
      <alignment horizontal="center" vertical="center"/>
    </xf>
    <xf numFmtId="0" fontId="175" fillId="48" borderId="0" xfId="34" applyFont="1" applyFill="1" applyBorder="1" applyAlignment="1">
      <alignment horizontal="center" vertical="center"/>
    </xf>
    <xf numFmtId="0" fontId="33" fillId="4" borderId="0" xfId="7" applyFont="1" applyFill="1" applyAlignment="1">
      <alignment horizontal="center" vertical="center"/>
    </xf>
    <xf numFmtId="0" fontId="31" fillId="4" borderId="0" xfId="7" applyFont="1" applyFill="1" applyAlignment="1">
      <alignment horizontal="center" vertical="center"/>
    </xf>
    <xf numFmtId="0" fontId="33" fillId="4" borderId="0" xfId="7" applyFont="1" applyFill="1" applyAlignment="1">
      <alignment horizontal="center"/>
    </xf>
    <xf numFmtId="0" fontId="14" fillId="4" borderId="0" xfId="7" applyFont="1" applyFill="1" applyAlignment="1">
      <alignment horizontal="center" vertical="center"/>
    </xf>
    <xf numFmtId="0" fontId="14" fillId="66" borderId="47" xfId="7" applyFont="1" applyFill="1" applyBorder="1" applyAlignment="1">
      <alignment horizontal="center"/>
    </xf>
    <xf numFmtId="0" fontId="14" fillId="66" borderId="106" xfId="7" applyFont="1" applyFill="1" applyBorder="1" applyAlignment="1">
      <alignment horizontal="center"/>
    </xf>
    <xf numFmtId="0" fontId="14" fillId="66" borderId="107" xfId="7" applyFont="1" applyFill="1" applyBorder="1" applyAlignment="1">
      <alignment horizontal="center"/>
    </xf>
    <xf numFmtId="0" fontId="31" fillId="0" borderId="24" xfId="7" applyFont="1" applyBorder="1" applyAlignment="1">
      <alignment horizontal="center" vertical="center"/>
    </xf>
    <xf numFmtId="0" fontId="31" fillId="0" borderId="25" xfId="7" applyFont="1" applyBorder="1" applyAlignment="1">
      <alignment horizontal="center" vertical="center"/>
    </xf>
    <xf numFmtId="0" fontId="31" fillId="4" borderId="24" xfId="7" applyFont="1" applyFill="1" applyBorder="1" applyAlignment="1">
      <alignment horizontal="center" vertical="center"/>
    </xf>
    <xf numFmtId="0" fontId="31" fillId="4" borderId="25" xfId="7" applyFont="1" applyFill="1" applyBorder="1" applyAlignment="1">
      <alignment horizontal="center" vertical="center"/>
    </xf>
    <xf numFmtId="0" fontId="31" fillId="4" borderId="24" xfId="7" applyFont="1" applyFill="1" applyBorder="1" applyAlignment="1">
      <alignment horizontal="center"/>
    </xf>
    <xf numFmtId="0" fontId="31" fillId="4" borderId="25" xfId="7" applyFont="1" applyFill="1" applyBorder="1" applyAlignment="1">
      <alignment horizontal="center"/>
    </xf>
    <xf numFmtId="0" fontId="31" fillId="4" borderId="14" xfId="7" applyFont="1" applyFill="1" applyBorder="1" applyAlignment="1">
      <alignment horizontal="center"/>
    </xf>
    <xf numFmtId="0" fontId="31" fillId="4" borderId="0" xfId="7" applyFont="1" applyFill="1" applyAlignment="1">
      <alignment horizontal="center"/>
    </xf>
    <xf numFmtId="0" fontId="33" fillId="4" borderId="108" xfId="7" applyFont="1" applyFill="1" applyBorder="1" applyAlignment="1">
      <alignment horizontal="center"/>
    </xf>
    <xf numFmtId="0" fontId="31" fillId="4" borderId="46" xfId="7" applyFont="1" applyFill="1" applyBorder="1" applyAlignment="1">
      <alignment horizontal="center" vertical="center"/>
    </xf>
    <xf numFmtId="0" fontId="31" fillId="4" borderId="11" xfId="7" applyFont="1" applyFill="1" applyBorder="1" applyAlignment="1">
      <alignment horizontal="center" vertical="center"/>
    </xf>
    <xf numFmtId="20" fontId="31" fillId="4" borderId="24" xfId="7" applyNumberFormat="1" applyFont="1" applyFill="1" applyBorder="1" applyAlignment="1">
      <alignment horizontal="center" vertical="center"/>
    </xf>
    <xf numFmtId="0" fontId="31" fillId="4" borderId="14" xfId="7" applyFont="1" applyFill="1" applyBorder="1" applyAlignment="1">
      <alignment horizontal="center" vertical="center"/>
    </xf>
    <xf numFmtId="0" fontId="31" fillId="4" borderId="0" xfId="7" applyFont="1" applyFill="1"/>
    <xf numFmtId="0" fontId="31" fillId="4" borderId="76" xfId="7" applyFont="1" applyFill="1" applyBorder="1" applyAlignment="1">
      <alignment horizontal="center" vertical="center"/>
    </xf>
    <xf numFmtId="0" fontId="31" fillId="4" borderId="76" xfId="7" applyFont="1" applyFill="1" applyBorder="1" applyAlignment="1">
      <alignment horizontal="center"/>
    </xf>
    <xf numFmtId="0" fontId="6" fillId="4" borderId="24" xfId="13" applyFont="1" applyFill="1" applyBorder="1" applyAlignment="1">
      <alignment horizontal="center" vertical="center"/>
    </xf>
    <xf numFmtId="0" fontId="6" fillId="4" borderId="14" xfId="13" applyFont="1" applyFill="1" applyBorder="1" applyAlignment="1">
      <alignment horizontal="center" vertical="center"/>
    </xf>
    <xf numFmtId="0" fontId="6" fillId="4" borderId="25" xfId="13" applyFont="1" applyFill="1" applyBorder="1" applyAlignment="1">
      <alignment horizontal="center" vertical="center"/>
    </xf>
    <xf numFmtId="0" fontId="230" fillId="4" borderId="0" xfId="13" applyFont="1" applyFill="1" applyAlignment="1">
      <alignment horizontal="center" vertical="center"/>
    </xf>
    <xf numFmtId="0" fontId="126" fillId="4" borderId="23" xfId="13" applyFont="1" applyFill="1" applyBorder="1" applyAlignment="1">
      <alignment horizontal="center" vertical="center" wrapText="1"/>
    </xf>
    <xf numFmtId="0" fontId="6" fillId="4" borderId="0" xfId="13" applyFont="1" applyFill="1" applyBorder="1" applyAlignment="1">
      <alignment horizontal="center" vertical="center" wrapText="1"/>
    </xf>
    <xf numFmtId="0" fontId="6" fillId="4" borderId="117" xfId="13" applyFont="1" applyFill="1" applyBorder="1" applyAlignment="1">
      <alignment horizontal="center" vertical="center" wrapText="1"/>
    </xf>
    <xf numFmtId="0" fontId="127" fillId="4" borderId="58" xfId="13" applyFont="1" applyFill="1" applyBorder="1" applyAlignment="1">
      <alignment horizontal="center" vertical="center" wrapText="1"/>
    </xf>
    <xf numFmtId="0" fontId="127" fillId="4" borderId="61" xfId="13" applyFont="1" applyFill="1" applyBorder="1" applyAlignment="1">
      <alignment horizontal="center" vertical="center" wrapText="1"/>
    </xf>
    <xf numFmtId="0" fontId="6" fillId="4" borderId="0" xfId="13" applyFont="1" applyFill="1" applyAlignment="1">
      <alignment horizontal="left" vertical="center" wrapText="1"/>
    </xf>
    <xf numFmtId="0" fontId="6" fillId="4" borderId="13" xfId="13" applyFont="1" applyFill="1" applyBorder="1" applyAlignment="1">
      <alignment horizontal="left" vertical="center" wrapText="1"/>
    </xf>
    <xf numFmtId="0" fontId="270" fillId="4" borderId="0" xfId="13" quotePrefix="1" applyFont="1" applyFill="1" applyAlignment="1">
      <alignment horizontal="center" vertical="center"/>
    </xf>
    <xf numFmtId="0" fontId="126" fillId="4" borderId="4" xfId="13" applyFont="1" applyFill="1" applyBorder="1" applyAlignment="1">
      <alignment horizontal="center" vertical="center" wrapText="1"/>
    </xf>
    <xf numFmtId="0" fontId="126" fillId="4" borderId="5" xfId="13" applyFont="1" applyFill="1" applyBorder="1" applyAlignment="1">
      <alignment horizontal="center" vertical="center" wrapText="1"/>
    </xf>
    <xf numFmtId="0" fontId="126" fillId="4" borderId="6" xfId="13" applyFont="1" applyFill="1" applyBorder="1" applyAlignment="1">
      <alignment horizontal="center" vertical="center" wrapText="1"/>
    </xf>
    <xf numFmtId="0" fontId="6" fillId="4" borderId="15" xfId="13" applyFont="1" applyFill="1" applyBorder="1" applyAlignment="1">
      <alignment horizontal="center" vertical="center" wrapText="1"/>
    </xf>
    <xf numFmtId="0" fontId="6" fillId="4" borderId="0" xfId="13" applyFont="1" applyFill="1" applyAlignment="1">
      <alignment horizontal="center" vertical="center" wrapText="1"/>
    </xf>
    <xf numFmtId="0" fontId="6" fillId="4" borderId="13" xfId="13" applyFont="1" applyFill="1" applyBorder="1" applyAlignment="1">
      <alignment horizontal="center" vertical="center" wrapText="1"/>
    </xf>
    <xf numFmtId="0" fontId="270" fillId="4" borderId="13" xfId="13" applyFont="1" applyFill="1" applyBorder="1" applyAlignment="1">
      <alignment horizontal="left" vertical="center"/>
    </xf>
    <xf numFmtId="0" fontId="167" fillId="4" borderId="0" xfId="7" applyFont="1" applyFill="1" applyAlignment="1">
      <alignment horizontal="center" vertical="center" wrapText="1"/>
    </xf>
    <xf numFmtId="0" fontId="247" fillId="4" borderId="0" xfId="1" applyFont="1" applyFill="1" applyAlignment="1">
      <alignment horizontal="left" vertical="center"/>
    </xf>
    <xf numFmtId="0" fontId="126" fillId="4" borderId="206" xfId="13" applyFont="1" applyFill="1" applyBorder="1" applyAlignment="1">
      <alignment horizontal="center" vertical="center" wrapText="1"/>
    </xf>
    <xf numFmtId="0" fontId="126" fillId="4" borderId="170" xfId="13" applyFont="1" applyFill="1" applyBorder="1" applyAlignment="1">
      <alignment horizontal="center" vertical="center" wrapText="1"/>
    </xf>
    <xf numFmtId="0" fontId="126" fillId="4" borderId="207" xfId="13" applyFont="1" applyFill="1" applyBorder="1" applyAlignment="1">
      <alignment horizontal="center" vertical="center" wrapText="1"/>
    </xf>
    <xf numFmtId="0" fontId="126" fillId="4" borderId="194" xfId="13" applyFont="1" applyFill="1" applyBorder="1" applyAlignment="1">
      <alignment horizontal="center" vertical="center" wrapText="1"/>
    </xf>
    <xf numFmtId="0" fontId="126" fillId="4" borderId="76" xfId="13" applyFont="1" applyFill="1" applyBorder="1" applyAlignment="1">
      <alignment horizontal="center" vertical="center" wrapText="1"/>
    </xf>
    <xf numFmtId="0" fontId="126" fillId="4" borderId="210" xfId="13" applyFont="1" applyFill="1" applyBorder="1" applyAlignment="1">
      <alignment horizontal="center" vertical="center" wrapText="1"/>
    </xf>
    <xf numFmtId="176" fontId="175" fillId="4" borderId="0" xfId="11" applyNumberFormat="1" applyFont="1" applyFill="1" applyAlignment="1">
      <alignment horizontal="left" vertical="center"/>
    </xf>
    <xf numFmtId="0" fontId="14" fillId="32" borderId="76" xfId="7" applyFont="1" applyFill="1" applyBorder="1" applyAlignment="1">
      <alignment horizontal="center" vertical="center"/>
    </xf>
    <xf numFmtId="0" fontId="14" fillId="32" borderId="77" xfId="7" applyFont="1" applyFill="1" applyBorder="1" applyAlignment="1">
      <alignment horizontal="center" vertical="center"/>
    </xf>
    <xf numFmtId="0" fontId="149" fillId="3" borderId="0" xfId="0" applyFont="1" applyFill="1" applyAlignment="1">
      <alignment horizontal="center"/>
    </xf>
    <xf numFmtId="0" fontId="8" fillId="3" borderId="0" xfId="0" applyFont="1" applyFill="1" applyAlignment="1">
      <alignment horizontal="center" vertical="center"/>
    </xf>
    <xf numFmtId="0" fontId="31" fillId="3" borderId="0" xfId="0" applyFont="1" applyFill="1" applyAlignment="1">
      <alignment horizontal="center" vertical="center"/>
    </xf>
    <xf numFmtId="0" fontId="14" fillId="3" borderId="0" xfId="0" applyFont="1" applyFill="1"/>
    <xf numFmtId="0" fontId="200" fillId="18" borderId="281" xfId="34" applyFont="1" applyFill="1" applyBorder="1" applyAlignment="1">
      <alignment horizontal="center" vertical="center"/>
    </xf>
    <xf numFmtId="0" fontId="200" fillId="18" borderId="282" xfId="34" applyFont="1" applyFill="1" applyBorder="1" applyAlignment="1">
      <alignment horizontal="center" vertical="center"/>
    </xf>
    <xf numFmtId="170" fontId="293" fillId="65" borderId="237" xfId="28" applyNumberFormat="1" applyFont="1" applyFill="1" applyBorder="1" applyAlignment="1">
      <alignment horizontal="left" vertical="center"/>
    </xf>
    <xf numFmtId="170" fontId="293" fillId="65" borderId="241" xfId="28" applyNumberFormat="1" applyFont="1" applyFill="1" applyBorder="1" applyAlignment="1">
      <alignment horizontal="left" vertical="center"/>
    </xf>
    <xf numFmtId="170" fontId="293" fillId="65" borderId="244" xfId="28" applyNumberFormat="1" applyFont="1" applyFill="1" applyBorder="1" applyAlignment="1">
      <alignment horizontal="left" vertical="center"/>
    </xf>
    <xf numFmtId="170" fontId="293" fillId="65" borderId="241" xfId="28" applyNumberFormat="1" applyFont="1" applyFill="1" applyBorder="1" applyAlignment="1">
      <alignment horizontal="center" vertical="center"/>
    </xf>
    <xf numFmtId="170" fontId="295" fillId="65" borderId="241" xfId="28" applyNumberFormat="1" applyFont="1" applyFill="1" applyBorder="1" applyAlignment="1">
      <alignment horizontal="left" vertical="center"/>
    </xf>
    <xf numFmtId="170" fontId="151" fillId="10" borderId="226" xfId="28" applyNumberFormat="1" applyFont="1" applyFill="1" applyBorder="1" applyAlignment="1">
      <alignment horizontal="center" vertical="center"/>
    </xf>
    <xf numFmtId="170" fontId="175" fillId="10" borderId="221" xfId="28" applyNumberFormat="1" applyFont="1" applyFill="1" applyBorder="1" applyAlignment="1">
      <alignment horizontal="center" vertical="center"/>
    </xf>
    <xf numFmtId="170" fontId="175" fillId="10" borderId="225" xfId="28" applyNumberFormat="1" applyFont="1" applyFill="1" applyBorder="1" applyAlignment="1">
      <alignment horizontal="center" vertical="center"/>
    </xf>
    <xf numFmtId="170" fontId="293" fillId="65" borderId="283" xfId="28" applyNumberFormat="1" applyFont="1" applyFill="1" applyBorder="1" applyAlignment="1">
      <alignment horizontal="center" vertical="center"/>
    </xf>
    <xf numFmtId="170" fontId="293" fillId="65" borderId="165" xfId="28" applyNumberFormat="1" applyFont="1" applyFill="1" applyBorder="1" applyAlignment="1">
      <alignment horizontal="center" vertical="center"/>
    </xf>
    <xf numFmtId="170" fontId="293" fillId="65" borderId="284" xfId="28" applyNumberFormat="1" applyFont="1" applyFill="1" applyBorder="1" applyAlignment="1">
      <alignment horizontal="center" vertical="center"/>
    </xf>
    <xf numFmtId="170" fontId="293" fillId="65" borderId="223" xfId="28" applyNumberFormat="1" applyFont="1" applyFill="1" applyBorder="1" applyAlignment="1">
      <alignment horizontal="center" vertical="center"/>
    </xf>
    <xf numFmtId="170" fontId="293" fillId="65" borderId="285" xfId="28" applyNumberFormat="1" applyFont="1" applyFill="1" applyBorder="1" applyAlignment="1">
      <alignment horizontal="center" vertical="center"/>
    </xf>
    <xf numFmtId="170" fontId="293" fillId="65" borderId="224" xfId="28" applyNumberFormat="1" applyFont="1" applyFill="1" applyBorder="1" applyAlignment="1">
      <alignment horizontal="center" vertical="center"/>
    </xf>
    <xf numFmtId="194" fontId="36" fillId="0" borderId="286" xfId="13" applyNumberFormat="1" applyBorder="1" applyAlignment="1">
      <alignment horizontal="center" vertical="center"/>
    </xf>
    <xf numFmtId="195" fontId="36" fillId="0" borderId="286" xfId="13" applyNumberFormat="1" applyBorder="1" applyAlignment="1">
      <alignment horizontal="center" vertical="center"/>
    </xf>
    <xf numFmtId="170" fontId="10" fillId="65" borderId="165" xfId="28" applyNumberFormat="1" applyFont="1" applyFill="1" applyBorder="1" applyAlignment="1">
      <alignment horizontal="center" vertical="center"/>
    </xf>
    <xf numFmtId="0" fontId="239" fillId="4" borderId="0" xfId="29" applyFont="1" applyFill="1" applyAlignment="1">
      <alignment vertical="center"/>
    </xf>
    <xf numFmtId="0" fontId="1" fillId="10" borderId="0" xfId="1" applyFont="1" applyFill="1" applyAlignment="1">
      <alignment horizontal="left" vertical="center"/>
    </xf>
    <xf numFmtId="0" fontId="8" fillId="4" borderId="0" xfId="13" applyFont="1" applyFill="1" applyAlignment="1">
      <alignment vertical="center"/>
    </xf>
    <xf numFmtId="0" fontId="14" fillId="0" borderId="0" xfId="7" applyFont="1" applyAlignment="1">
      <alignment horizontal="center"/>
    </xf>
    <xf numFmtId="0" fontId="29" fillId="68" borderId="0" xfId="1" applyFont="1" applyFill="1" applyAlignment="1">
      <alignment vertical="center"/>
    </xf>
    <xf numFmtId="0" fontId="248" fillId="0" borderId="0" xfId="1" applyFont="1"/>
    <xf numFmtId="0" fontId="298" fillId="0" borderId="0" xfId="0" applyFont="1"/>
    <xf numFmtId="0" fontId="298" fillId="4" borderId="0" xfId="0" applyFont="1" applyFill="1"/>
    <xf numFmtId="187" fontId="299" fillId="24" borderId="74" xfId="35" applyNumberFormat="1" applyFont="1" applyFill="1" applyBorder="1" applyAlignment="1">
      <alignment horizontal="right" vertical="center"/>
    </xf>
    <xf numFmtId="187" fontId="299" fillId="24" borderId="184" xfId="35" applyNumberFormat="1" applyFont="1" applyFill="1" applyBorder="1" applyAlignment="1">
      <alignment horizontal="right" vertical="center"/>
    </xf>
    <xf numFmtId="193" fontId="31" fillId="24" borderId="0" xfId="3" applyNumberFormat="1" applyFont="1" applyFill="1" applyAlignment="1">
      <alignment horizontal="center" vertical="center"/>
    </xf>
    <xf numFmtId="193" fontId="31" fillId="24" borderId="111" xfId="3" applyNumberFormat="1" applyFont="1" applyFill="1" applyBorder="1" applyAlignment="1">
      <alignment horizontal="center" vertical="center"/>
    </xf>
    <xf numFmtId="0" fontId="300" fillId="0" borderId="90" xfId="13" applyFont="1" applyBorder="1" applyAlignment="1">
      <alignment horizontal="left" vertical="center" indent="1"/>
    </xf>
    <xf numFmtId="0" fontId="300" fillId="0" borderId="113" xfId="13" applyFont="1" applyBorder="1" applyAlignment="1">
      <alignment horizontal="left" vertical="center" indent="1"/>
    </xf>
    <xf numFmtId="167" fontId="14" fillId="4" borderId="89" xfId="3" applyNumberFormat="1" applyFont="1" applyFill="1" applyBorder="1" applyAlignment="1">
      <alignment horizontal="center" vertical="center"/>
    </xf>
    <xf numFmtId="167" fontId="14" fillId="4" borderId="110" xfId="3" applyNumberFormat="1" applyFont="1" applyFill="1" applyBorder="1" applyAlignment="1">
      <alignment horizontal="center" vertical="center"/>
    </xf>
    <xf numFmtId="193" fontId="31" fillId="4" borderId="0" xfId="13" applyNumberFormat="1" applyFont="1" applyFill="1" applyAlignment="1">
      <alignment horizontal="left" vertical="center"/>
    </xf>
    <xf numFmtId="0" fontId="301" fillId="20" borderId="0" xfId="9" applyFont="1" applyFill="1" applyAlignment="1" applyProtection="1">
      <alignment vertical="center"/>
      <protection hidden="1"/>
    </xf>
  </cellXfs>
  <cellStyles count="41">
    <cellStyle name="Accent1 2" xfId="38" xr:uid="{9F363F2D-2801-4E08-AACF-963965C0C36D}"/>
    <cellStyle name="Lien hypertexte" xfId="1" builtinId="8"/>
    <cellStyle name="Lien hypertexte 2" xfId="30" xr:uid="{08285F4B-0ECB-4180-A309-6AB21890C9DB}"/>
    <cellStyle name="Lien hypertexte 2 2" xfId="20" xr:uid="{1B4EED75-F033-486F-91BF-6B4CF5BD4C83}"/>
    <cellStyle name="Lien hypertexte 2 3" xfId="40" xr:uid="{64A32F9A-B8AF-44B1-9134-9D7938EA134C}"/>
    <cellStyle name="Lien hypertexte 3" xfId="39" xr:uid="{55A0A349-02A5-4E0F-BFAD-CE6F35D8E076}"/>
    <cellStyle name="Lien hypertexte 3 2 2" xfId="18" xr:uid="{9FB73991-74B1-4E8E-85F0-AE3BDCA0DDF5}"/>
    <cellStyle name="Lien hypertexte 5 2" xfId="19" xr:uid="{E3FBF2A4-A9DC-453E-89A9-FE4F2541D3B5}"/>
    <cellStyle name="Lien hypertexte_PG Positionnement 2009 2" xfId="16" xr:uid="{AC7E70A0-747F-4E59-96E2-C8194D8203B3}"/>
    <cellStyle name="Normal" xfId="0" builtinId="0"/>
    <cellStyle name="Normal 2" xfId="2" xr:uid="{BD8325FA-C65A-4225-AB0D-6805C863F966}"/>
    <cellStyle name="Normal 2 2" xfId="7" xr:uid="{80787B29-3B4B-40FD-A952-67913FAD47B8}"/>
    <cellStyle name="Normal 2 2 2 2" xfId="9" xr:uid="{39352341-8332-4990-B315-B848A945B175}"/>
    <cellStyle name="Normal 2 3" xfId="29" xr:uid="{EFB30500-9BC1-41E7-93CF-480492180C1C}"/>
    <cellStyle name="Normal 3" xfId="3" xr:uid="{05C5F784-8F6E-4D69-8671-850FA46B677F}"/>
    <cellStyle name="Normal 3 2" xfId="4" xr:uid="{8C06B739-A8D7-4C05-8112-8295748D1157}"/>
    <cellStyle name="Normal 3 3" xfId="13" xr:uid="{BF321054-39CB-410D-88E0-FDBC1EEB97B7}"/>
    <cellStyle name="Normal 4" xfId="25" xr:uid="{446716B6-43C7-43BA-AF04-8937AEA7FE86}"/>
    <cellStyle name="Normal 4 3 4" xfId="8" xr:uid="{5A1AD2DB-7CC2-41F9-A6F3-BAAC5D878EB3}"/>
    <cellStyle name="Normal 5" xfId="34" xr:uid="{4973FE10-353D-4262-B1AA-CE4DD86889FD}"/>
    <cellStyle name="Normal_Bons de commande livraison 2" xfId="31" xr:uid="{3D5036EE-B31A-4267-B544-5E417ECB5030}"/>
    <cellStyle name="Normal_Comparer recettes 2009 OK 2" xfId="10" xr:uid="{F267CD21-D941-41EE-BA0B-93E24499B517}"/>
    <cellStyle name="Normal_Comparer recettes 2009 OK 2 2" xfId="15" xr:uid="{C539CF98-2A9F-4136-99E1-3E4F8EF204EB}"/>
    <cellStyle name="Normal_Cuissons Températures portait16-11-2006 2" xfId="32" xr:uid="{4313C255-1F7C-4D60-A53D-F61AE32845B6}"/>
    <cellStyle name="Normal_DEVIS" xfId="5" xr:uid="{94F4D24B-B632-4F9D-BC63-A3B4DC3390DD}"/>
    <cellStyle name="Normal_DEVIS 2" xfId="28" xr:uid="{6AA35D2C-13AE-41F5-B85B-E681A608C11A}"/>
    <cellStyle name="Normal_Feuille de Positionnement 2" xfId="33" xr:uid="{BCC52AB9-69FD-45E3-BC2C-C6761A3223CF}"/>
    <cellStyle name="Normal_Fiche de mouvement 2002" xfId="6" xr:uid="{E2105FFC-731E-4D8B-B44F-F8CE43AE243A}"/>
    <cellStyle name="Normal_Forum Marais 15 09 2001" xfId="11" xr:uid="{64B6DB7F-3E0D-4DCB-8E92-A6478CC28BF0}"/>
    <cellStyle name="Normal_Forum Marais 15 09 2001 2" xfId="27" xr:uid="{5808AF21-9823-4E9F-BDC1-09FBED1BE171}"/>
    <cellStyle name="Normal_Forum Marais 15 09 2001_Fiche technique C2 Mars 2008 " xfId="14" xr:uid="{A3078C7A-701D-420A-BFB9-10B0DA82D20E}"/>
    <cellStyle name="Normal_Gantt 27 janvier 2" xfId="17" xr:uid="{A0256B8D-72C4-43AA-924B-6AF11CBF3701}"/>
    <cellStyle name="Normal_Marché 2002 filtre automatique" xfId="22" xr:uid="{4707D9CA-7511-4F4F-8652-21141324B68C}"/>
    <cellStyle name="Normal_Modèle de Positionnement 2003" xfId="26" xr:uid="{AB195FE7-919B-4149-AF08-4250A82DF802}"/>
    <cellStyle name="Normal_Modèle Excel PAYSAGE et PORTRAIT" xfId="21" xr:uid="{72C10A4E-21C0-48B9-BFA4-79832C1DE097}"/>
    <cellStyle name="Normal_Pointage Gasparotto 2000 2" xfId="37" xr:uid="{8AAC5760-D5DE-4D2E-80E1-A2A3C2BE00ED}"/>
    <cellStyle name="Normal_Pointage Grelaud 2000" xfId="23" xr:uid="{DF4BF378-3DA3-4FCC-9B78-85CB5950FEF8}"/>
    <cellStyle name="Normal_Pointage Grelaud 2000 2" xfId="35" xr:uid="{7B341DA4-93C3-471A-9CD8-A6234B3B6CCF}"/>
    <cellStyle name="Normal_Salaires Janvier Février 2001" xfId="24" xr:uid="{5108AC7D-F1A3-4444-8237-0A57B9D58462}"/>
    <cellStyle name="Normal_space" xfId="12" xr:uid="{029757BE-63FA-425E-A234-FB3E29BD3911}"/>
    <cellStyle name="Normal_Temps de travail 2007 2" xfId="36" xr:uid="{40EF4E75-A37B-4E59-9FFB-F47B39531134}"/>
  </cellStyles>
  <dxfs count="1212">
    <dxf>
      <font>
        <color theme="0"/>
      </font>
      <fill>
        <patternFill>
          <bgColor rgb="FFFF33CC"/>
        </patternFill>
      </fill>
    </dxf>
    <dxf>
      <fill>
        <patternFill>
          <bgColor theme="8" tint="0.59996337778862885"/>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indexed="47"/>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color theme="0"/>
      </font>
      <fill>
        <patternFill>
          <bgColor rgb="FFFF33CC"/>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ndense val="0"/>
        <extend val="0"/>
        <color indexed="9"/>
      </font>
      <fill>
        <patternFill>
          <fgColor indexed="10"/>
          <bgColor indexed="10"/>
        </patternFill>
      </fill>
    </dxf>
    <dxf>
      <font>
        <b/>
        <i val="0"/>
        <condense val="0"/>
        <extend val="0"/>
        <color indexed="9"/>
      </font>
      <fill>
        <patternFill>
          <fgColor indexed="12"/>
          <bgColor indexed="12"/>
        </patternFill>
      </fill>
    </dxf>
    <dxf>
      <font>
        <b/>
        <i val="0"/>
        <condense val="0"/>
        <extend val="0"/>
        <color indexed="9"/>
      </font>
      <fill>
        <patternFill>
          <fgColor indexed="10"/>
          <bgColor indexed="10"/>
        </patternFill>
      </fill>
    </dxf>
    <dxf>
      <font>
        <b/>
        <i val="0"/>
        <condense val="0"/>
        <extend val="0"/>
        <color indexed="9"/>
      </font>
      <fill>
        <patternFill>
          <fgColor indexed="12"/>
          <bgColor indexed="12"/>
        </patternFill>
      </fill>
    </dxf>
    <dxf>
      <font>
        <b val="0"/>
        <i val="0"/>
        <condense val="0"/>
        <extend val="0"/>
        <color indexed="9"/>
      </font>
      <fill>
        <patternFill>
          <fgColor indexed="10"/>
          <bgColor indexed="10"/>
        </patternFill>
      </fill>
    </dxf>
    <dxf>
      <font>
        <b val="0"/>
        <i val="0"/>
        <condense val="0"/>
        <extend val="0"/>
        <color indexed="9"/>
      </font>
      <fill>
        <patternFill>
          <fgColor indexed="12"/>
          <bgColor indexed="12"/>
        </patternFill>
      </fill>
    </dxf>
    <dxf>
      <font>
        <b/>
        <i val="0"/>
        <condense val="0"/>
        <extend val="0"/>
        <color indexed="9"/>
      </font>
      <fill>
        <patternFill>
          <fgColor indexed="10"/>
          <bgColor indexed="10"/>
        </patternFill>
      </fill>
    </dxf>
    <dxf>
      <font>
        <b/>
        <i val="0"/>
        <condense val="0"/>
        <extend val="0"/>
        <color indexed="9"/>
      </font>
      <fill>
        <patternFill>
          <fgColor indexed="12"/>
          <bgColor indexed="12"/>
        </patternFill>
      </fill>
    </dxf>
    <dxf>
      <font>
        <color theme="0"/>
      </font>
      <fill>
        <patternFill>
          <bgColor rgb="FFFF33CC"/>
        </patternFill>
      </fill>
    </dxf>
    <dxf>
      <font>
        <b/>
        <i val="0"/>
        <condense val="0"/>
        <extend val="0"/>
        <color indexed="9"/>
      </font>
      <fill>
        <patternFill>
          <fgColor indexed="10"/>
          <bgColor indexed="10"/>
        </patternFill>
      </fill>
    </dxf>
    <dxf>
      <font>
        <b/>
        <i val="0"/>
        <condense val="0"/>
        <extend val="0"/>
        <color indexed="9"/>
      </font>
      <fill>
        <patternFill>
          <fgColor indexed="12"/>
          <bgColor indexed="12"/>
        </patternFill>
      </fill>
    </dxf>
    <dxf>
      <font>
        <b val="0"/>
        <i val="0"/>
        <condense val="0"/>
        <extend val="0"/>
        <color indexed="9"/>
      </font>
      <fill>
        <patternFill>
          <fgColor indexed="10"/>
          <bgColor indexed="10"/>
        </patternFill>
      </fill>
    </dxf>
    <dxf>
      <font>
        <b val="0"/>
        <i val="0"/>
        <condense val="0"/>
        <extend val="0"/>
        <color indexed="9"/>
      </font>
      <fill>
        <patternFill>
          <fgColor indexed="12"/>
          <bgColor indexed="12"/>
        </patternFill>
      </fill>
    </dxf>
    <dxf>
      <font>
        <color theme="0"/>
      </font>
      <fill>
        <patternFill>
          <bgColor rgb="FFFF3399"/>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theme="0"/>
      </font>
      <fill>
        <patternFill>
          <bgColor rgb="FFFF33CC"/>
        </patternFill>
      </fill>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rgb="FF92D050"/>
        </patternFill>
      </fill>
    </dxf>
    <dxf>
      <font>
        <color theme="0"/>
      </font>
      <fill>
        <patternFill>
          <bgColor rgb="FFFF0000"/>
        </patternFill>
      </fill>
    </dxf>
    <dxf>
      <font>
        <color theme="0"/>
      </font>
      <fill>
        <patternFill>
          <bgColor rgb="FF00B0F0"/>
        </patternFill>
      </fill>
    </dxf>
    <dxf>
      <fill>
        <patternFill>
          <bgColor theme="5"/>
        </patternFill>
      </fill>
    </dxf>
    <dxf>
      <font>
        <b/>
        <i val="0"/>
        <color theme="0"/>
      </font>
      <fill>
        <patternFill>
          <bgColor theme="1" tint="0.499984740745262"/>
        </patternFill>
      </fill>
    </dxf>
    <dxf>
      <fill>
        <patternFill>
          <bgColor rgb="FF66FF33"/>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fill>
        <patternFill>
          <fgColor rgb="FFFF33CC"/>
          <bgColor rgb="FFFF33CC"/>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00B0F0"/>
        </patternFill>
      </fill>
    </dxf>
    <dxf>
      <font>
        <b/>
        <i val="0"/>
        <color theme="0"/>
      </font>
      <fill>
        <patternFill>
          <bgColor rgb="FFFF33CC"/>
        </patternFill>
      </fill>
    </dxf>
    <dxf>
      <fill>
        <patternFill>
          <bgColor theme="5"/>
        </patternFill>
      </fill>
    </dxf>
    <dxf>
      <font>
        <b/>
        <i val="0"/>
        <color theme="0"/>
      </font>
      <fill>
        <patternFill>
          <bgColor theme="1" tint="0.499984740745262"/>
        </patternFill>
      </fill>
    </dxf>
    <dxf>
      <fill>
        <patternFill>
          <bgColor rgb="FF00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fill>
        <patternFill>
          <fgColor rgb="FFFF33CC"/>
          <bgColor rgb="FFFF33CC"/>
        </patternFill>
      </fill>
    </dxf>
    <dxf>
      <font>
        <color theme="0"/>
      </font>
      <fill>
        <patternFill>
          <bgColor rgb="FFFF33CC"/>
        </patternFill>
      </fill>
    </dxf>
    <dxf>
      <font>
        <color theme="0"/>
      </font>
      <fill>
        <patternFill>
          <bgColor rgb="FFFF3399"/>
        </patternFill>
      </fill>
    </dxf>
    <dxf>
      <font>
        <color theme="0"/>
      </font>
      <fill>
        <patternFill>
          <bgColor rgb="FFFF3399"/>
        </patternFill>
      </fill>
    </dxf>
    <dxf>
      <font>
        <color theme="0"/>
      </font>
      <fill>
        <patternFill>
          <bgColor rgb="FFFF33CC"/>
        </patternFill>
      </fill>
    </dxf>
    <dxf>
      <font>
        <color theme="0"/>
      </font>
      <fill>
        <patternFill>
          <fgColor rgb="FFFF33CC"/>
          <bgColor rgb="FFFF33CC"/>
        </patternFill>
      </fill>
    </dxf>
    <dxf>
      <font>
        <color theme="0"/>
      </font>
      <fill>
        <patternFill>
          <fgColor rgb="FFFF33CC"/>
          <bgColor rgb="FFFF33CC"/>
        </patternFill>
      </fill>
    </dxf>
    <dxf>
      <font>
        <color theme="0"/>
      </font>
      <fill>
        <patternFill>
          <fgColor rgb="FFFF33CC"/>
          <bgColor rgb="FFFF33CC"/>
        </patternFill>
      </fill>
    </dxf>
    <dxf>
      <font>
        <color theme="0"/>
      </font>
      <fill>
        <patternFill>
          <fgColor rgb="FFFF33CC"/>
          <bgColor rgb="FFFF33CC"/>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rgb="FF92D050"/>
        </patternFill>
      </fill>
    </dxf>
    <dxf>
      <font>
        <b val="0"/>
        <i val="0"/>
      </font>
      <fill>
        <patternFill>
          <bgColor theme="5"/>
        </patternFill>
      </fill>
    </dxf>
    <dxf>
      <font>
        <b/>
        <i val="0"/>
        <color theme="0"/>
      </font>
      <fill>
        <patternFill>
          <bgColor rgb="FFFF00FF"/>
        </patternFill>
      </fill>
    </dxf>
    <dxf>
      <font>
        <color theme="0"/>
      </font>
      <fill>
        <patternFill>
          <bgColor rgb="FFFF0000"/>
        </patternFill>
      </fill>
    </dxf>
    <dxf>
      <font>
        <color theme="0"/>
      </font>
      <fill>
        <patternFill>
          <bgColor rgb="FF00B0F0"/>
        </patternFill>
      </fill>
    </dxf>
    <dxf>
      <font>
        <b/>
        <i val="0"/>
        <color theme="0"/>
      </font>
      <fill>
        <patternFill>
          <bgColor theme="1" tint="0.499984740745262"/>
        </patternFill>
      </fill>
    </dxf>
    <dxf>
      <fill>
        <patternFill>
          <bgColor rgb="FF66FF33"/>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fill>
        <patternFill>
          <bgColor rgb="FFFF33CC"/>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fill>
        <patternFill>
          <fgColor rgb="FFFF00FF"/>
          <bgColor rgb="FFFF33CC"/>
        </patternFill>
      </fill>
    </dxf>
    <dxf>
      <fill>
        <patternFill>
          <bgColor theme="0" tint="-0.14996795556505021"/>
        </patternFill>
      </fill>
    </dxf>
    <dxf>
      <font>
        <color theme="0"/>
      </font>
      <fill>
        <patternFill>
          <bgColor rgb="FFFF33CC"/>
        </patternFill>
      </fill>
    </dxf>
    <dxf>
      <font>
        <color theme="0"/>
      </font>
      <fill>
        <patternFill>
          <bgColor rgb="FF00B0F0"/>
        </patternFill>
      </fill>
    </dxf>
    <dxf>
      <fill>
        <patternFill>
          <bgColor rgb="FF92D050"/>
        </patternFill>
      </fill>
    </dxf>
    <dxf>
      <font>
        <color theme="0"/>
      </font>
      <fill>
        <patternFill>
          <bgColor rgb="FFFF0000"/>
        </patternFill>
      </fill>
    </dxf>
    <dxf>
      <font>
        <color theme="0"/>
      </font>
      <fill>
        <patternFill>
          <bgColor rgb="FF00B0F0"/>
        </patternFill>
      </fill>
    </dxf>
    <dxf>
      <fill>
        <patternFill>
          <bgColor rgb="FFFF9900"/>
        </patternFill>
      </fill>
    </dxf>
    <dxf>
      <fill>
        <patternFill>
          <bgColor rgb="FFCCECFF"/>
        </patternFill>
      </fill>
    </dxf>
    <dxf>
      <fill>
        <patternFill>
          <bgColor rgb="FF66FF33"/>
        </patternFill>
      </fill>
    </dxf>
    <dxf>
      <fill>
        <patternFill>
          <bgColor rgb="FFB2B2B2"/>
        </patternFill>
      </fill>
    </dxf>
    <dxf>
      <font>
        <color theme="0"/>
      </font>
      <fill>
        <patternFill>
          <bgColor rgb="FFFF33CC"/>
        </patternFill>
      </fill>
    </dxf>
    <dxf>
      <font>
        <color theme="0"/>
      </font>
      <fill>
        <patternFill>
          <bgColor rgb="FFFF3399"/>
        </patternFill>
      </fill>
    </dxf>
    <dxf>
      <font>
        <color theme="0"/>
      </font>
      <fill>
        <patternFill>
          <bgColor rgb="FFFF33CC"/>
        </patternFill>
      </fill>
    </dxf>
    <dxf>
      <font>
        <color theme="0"/>
      </font>
      <fill>
        <patternFill>
          <bgColor rgb="FFFF33CC"/>
        </patternFill>
      </fill>
    </dxf>
    <dxf>
      <font>
        <color theme="0"/>
      </font>
      <fill>
        <patternFill>
          <bgColor rgb="FFFF3399"/>
        </patternFill>
      </fill>
    </dxf>
    <dxf>
      <font>
        <color theme="0"/>
      </font>
      <fill>
        <patternFill>
          <bgColor rgb="FFFF33CC"/>
        </patternFill>
      </fill>
    </dxf>
    <dxf>
      <font>
        <color theme="0"/>
      </font>
      <fill>
        <patternFill>
          <bgColor rgb="FFFF33CC"/>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ont>
        <color theme="0"/>
      </font>
      <fill>
        <patternFill>
          <bgColor rgb="FFFF33CC"/>
        </patternFill>
      </fill>
    </dxf>
    <dxf>
      <font>
        <color theme="0"/>
      </font>
      <fill>
        <patternFill>
          <bgColor rgb="FFFF3399"/>
        </patternFill>
      </fill>
    </dxf>
    <dxf>
      <font>
        <color theme="0"/>
      </font>
      <fill>
        <patternFill>
          <bgColor rgb="FFFF3399"/>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bgColor rgb="FFFF3399"/>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fill>
        <patternFill>
          <bgColor theme="1" tint="0.34998626667073579"/>
        </patternFill>
      </fill>
    </dxf>
    <dxf>
      <font>
        <b/>
        <i val="0"/>
      </font>
      <fill>
        <patternFill>
          <bgColor rgb="FFCCFFFF"/>
        </patternFill>
      </fill>
    </dxf>
    <dxf>
      <font>
        <b/>
        <i val="0"/>
        <color theme="0"/>
      </font>
      <fill>
        <patternFill>
          <bgColor rgb="FFFF66FF"/>
        </patternFill>
      </fill>
    </dxf>
    <dxf>
      <fill>
        <patternFill>
          <bgColor rgb="FF00FF00"/>
        </patternFill>
      </fill>
    </dxf>
    <dxf>
      <fill>
        <patternFill>
          <bgColor theme="7"/>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fgColor rgb="FFFF00FF"/>
          <bgColor rgb="FFFF3399"/>
        </patternFill>
      </fill>
    </dxf>
    <dxf>
      <font>
        <color theme="0"/>
      </font>
      <fill>
        <patternFill>
          <fgColor rgb="FFFF00FF"/>
          <bgColor rgb="FFFF33CC"/>
        </patternFill>
      </fill>
    </dxf>
    <dxf>
      <font>
        <color theme="0"/>
      </font>
      <fill>
        <patternFill>
          <fgColor rgb="FFFF3399"/>
          <bgColor rgb="FFFF3399"/>
        </patternFill>
      </fill>
    </dxf>
    <dxf>
      <font>
        <color theme="0"/>
      </font>
      <fill>
        <patternFill>
          <bgColor rgb="FFFF3399"/>
        </patternFill>
      </fill>
    </dxf>
    <dxf>
      <font>
        <color theme="0"/>
      </font>
      <fill>
        <patternFill>
          <bgColor rgb="FFFF3399"/>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fill>
        <patternFill>
          <bgColor rgb="FFFF3399"/>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indexed="47"/>
        </patternFill>
      </fill>
    </dxf>
    <dxf>
      <font>
        <color theme="0"/>
      </font>
      <fill>
        <patternFill>
          <bgColor rgb="FFFF3399"/>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indexed="47"/>
        </patternFill>
      </fill>
    </dxf>
    <dxf>
      <font>
        <color theme="0"/>
      </font>
      <fill>
        <patternFill>
          <bgColor rgb="FFFF3399"/>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indexed="47"/>
        </patternFill>
      </fill>
    </dxf>
    <dxf>
      <font>
        <color theme="0"/>
      </font>
      <fill>
        <patternFill>
          <bgColor rgb="FFFF3399"/>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indexed="47"/>
        </patternFill>
      </fill>
    </dxf>
    <dxf>
      <font>
        <color theme="0"/>
      </font>
      <fill>
        <patternFill>
          <bgColor rgb="FFFF3399"/>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indexed="47"/>
        </patternFill>
      </fill>
    </dxf>
    <dxf>
      <font>
        <color theme="0"/>
      </font>
      <fill>
        <patternFill>
          <bgColor rgb="FFFF3399"/>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indexed="47"/>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bgColor rgb="FFFF33CC"/>
        </patternFill>
      </fill>
    </dxf>
    <dxf>
      <font>
        <color theme="0"/>
      </font>
      <fill>
        <patternFill>
          <fgColor rgb="FFFF00FF"/>
          <bgColor rgb="FFFF3399"/>
        </patternFill>
      </fill>
    </dxf>
    <dxf>
      <font>
        <color theme="0"/>
      </font>
      <fill>
        <patternFill>
          <fgColor rgb="FFFF00FF"/>
          <bgColor rgb="FFFF33CC"/>
        </patternFill>
      </fill>
    </dxf>
    <dxf>
      <font>
        <color theme="0"/>
      </font>
      <fill>
        <patternFill>
          <fgColor rgb="FFFF3399"/>
          <bgColor rgb="FFFF3399"/>
        </patternFill>
      </fill>
    </dxf>
    <dxf>
      <font>
        <color theme="0"/>
      </font>
      <fill>
        <patternFill>
          <bgColor rgb="FFFF3399"/>
        </patternFill>
      </fill>
    </dxf>
    <dxf>
      <font>
        <color theme="0"/>
      </font>
      <fill>
        <patternFill>
          <bgColor rgb="FFFF3399"/>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ont>
        <b/>
        <i val="0"/>
        <color indexed="9"/>
        <name val="Calibri Light"/>
        <scheme val="none"/>
      </font>
      <fill>
        <patternFill>
          <fgColor indexed="10"/>
          <bgColor indexed="10"/>
        </patternFill>
      </fill>
    </dxf>
    <dxf>
      <font>
        <b/>
        <i val="0"/>
        <color indexed="9"/>
        <name val="Calibri Light"/>
        <scheme val="none"/>
      </font>
      <fill>
        <patternFill>
          <fgColor indexed="12"/>
          <bgColor indexed="12"/>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0"/>
      </font>
      <fill>
        <patternFill>
          <bgColor rgb="FF00B0F0"/>
        </patternFill>
      </fill>
    </dxf>
    <dxf>
      <fill>
        <patternFill>
          <bgColor theme="0" tint="-0.14996795556505021"/>
        </patternFill>
      </fill>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none"/>
      </font>
    </dxf>
    <dxf>
      <numFmt numFmtId="167" formatCode="mmmm"/>
    </dxf>
    <dxf>
      <numFmt numFmtId="168" formatCode="[$-40C]d\-mmm;@"/>
      <alignment horizontal="center" vertical="center" textRotation="0" wrapText="0" indent="0" justifyLastLine="0" shrinkToFit="0" readingOrder="0"/>
    </dxf>
    <dxf>
      <numFmt numFmtId="168" formatCode="[$-40C]d\-mmm;@"/>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none"/>
      </font>
    </dxf>
    <dxf>
      <numFmt numFmtId="167" formatCode="mmmm"/>
    </dxf>
    <dxf>
      <numFmt numFmtId="168" formatCode="[$-40C]d\-mmm;@"/>
      <alignment horizontal="center" vertical="center" textRotation="0" wrapText="0" indent="0" justifyLastLine="0" shrinkToFit="0" readingOrder="0"/>
    </dxf>
    <dxf>
      <numFmt numFmtId="168" formatCode="[$-40C]d\-mmm;@"/>
      <alignment horizontal="center" vertical="center" textRotation="0" wrapText="0" indent="0" justifyLastLine="0" shrinkToFit="0" readingOrder="0"/>
    </dxf>
    <dxf>
      <font>
        <b/>
      </font>
    </dxf>
    <dxf>
      <alignment horizontal="center" vertical="center" textRotation="0" wrapText="0" indent="0"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none"/>
      </font>
    </dxf>
    <dxf>
      <font>
        <b/>
      </font>
      <numFmt numFmtId="167" formatCode="mmmm"/>
      <alignment horizontal="left" vertical="center" textRotation="0" wrapText="0" indent="0" justifyLastLine="0" shrinkToFit="0" readingOrder="0"/>
    </dxf>
    <dxf>
      <numFmt numFmtId="168" formatCode="[$-40C]d\-mmm;@"/>
      <alignment horizontal="center" vertical="center" textRotation="0" wrapText="0" indent="0" justifyLastLine="0" shrinkToFit="0" readingOrder="0"/>
    </dxf>
    <dxf>
      <numFmt numFmtId="168" formatCode="[$-40C]d\-mmm;@"/>
      <alignment horizontal="center" vertical="center" textRotation="0" wrapText="0" indent="0"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none"/>
      </font>
    </dxf>
    <dxf>
      <font>
        <b/>
      </font>
      <numFmt numFmtId="167" formatCode="mmmm"/>
      <alignment horizontal="left" vertical="center" textRotation="0" wrapText="0" indent="0" justifyLastLine="0" shrinkToFit="0" readingOrder="0"/>
    </dxf>
    <dxf>
      <numFmt numFmtId="168" formatCode="[$-40C]d\-mmm;@"/>
      <alignment horizontal="center" vertical="center" textRotation="0" wrapText="0" indent="0" justifyLastLine="0" shrinkToFit="0" readingOrder="0"/>
    </dxf>
    <dxf>
      <numFmt numFmtId="168" formatCode="[$-40C]d\-mmm;@"/>
      <alignment horizontal="center" vertical="center" textRotation="0" wrapText="0" indent="0"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none"/>
      </font>
    </dxf>
    <dxf>
      <font>
        <b/>
      </font>
      <numFmt numFmtId="167" formatCode="mmmm"/>
      <alignment horizontal="left" vertical="center" textRotation="0" wrapText="0" indent="0" justifyLastLine="0" shrinkToFit="0" readingOrder="0"/>
    </dxf>
    <dxf>
      <numFmt numFmtId="168" formatCode="[$-40C]d\-mmm;@"/>
      <alignment horizontal="center" vertical="center" textRotation="0" wrapText="0" indent="0" justifyLastLine="0" shrinkToFit="0" readingOrder="0"/>
    </dxf>
    <dxf>
      <numFmt numFmtId="168" formatCode="[$-40C]d\-mmm;@"/>
      <alignment horizontal="center" vertical="center" textRotation="0" wrapText="0" indent="0" justifyLastLine="0" shrinkToFit="0" readingOrder="0"/>
    </dxf>
    <dxf>
      <fill>
        <patternFill patternType="solid">
          <fgColor indexed="64"/>
          <bgColor theme="0"/>
        </patternFill>
      </fill>
    </dxf>
    <dxf>
      <numFmt numFmtId="167" formatCode="mmmm"/>
    </dxf>
    <dxf>
      <numFmt numFmtId="168" formatCode="[$-40C]d\-mmm;@"/>
      <alignment horizontal="center" vertical="center" textRotation="0" wrapText="0" indent="0" justifyLastLine="0" shrinkToFit="0" readingOrder="0"/>
    </dxf>
    <dxf>
      <numFmt numFmtId="168" formatCode="[$-40C]d\-mmm;@"/>
      <alignment horizontal="center" vertical="center" textRotation="0" wrapText="0" indent="0" justifyLastLine="0" shrinkToFit="0" readingOrder="0"/>
    </dxf>
  </dxfs>
  <tableStyles count="0" defaultTableStyle="TableStyleMedium2" defaultPivotStyle="PivotStyleLight16"/>
  <colors>
    <mruColors>
      <color rgb="FFFF3399"/>
      <color rgb="FFFF33CC"/>
      <color rgb="FF008000"/>
      <color rgb="FFFFFFCC"/>
      <color rgb="FFB2B2B2"/>
      <color rgb="FF66FF33"/>
      <color rgb="FFCCECFF"/>
      <color rgb="FFFF9900"/>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5" fmlaLink="$B$2" fmlaRange="'exemple.pointages.horaires'!$I$2:$I$13" noThreeD="1" sel="5" val="4"/>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9.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24</xdr:col>
      <xdr:colOff>381000</xdr:colOff>
      <xdr:row>118</xdr:row>
      <xdr:rowOff>155315</xdr:rowOff>
    </xdr:from>
    <xdr:to>
      <xdr:col>28</xdr:col>
      <xdr:colOff>130331</xdr:colOff>
      <xdr:row>123</xdr:row>
      <xdr:rowOff>450850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00" y="39912665"/>
          <a:ext cx="2797331" cy="281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xdr:colOff>
      <xdr:row>3</xdr:row>
      <xdr:rowOff>47624</xdr:rowOff>
    </xdr:from>
    <xdr:to>
      <xdr:col>1</xdr:col>
      <xdr:colOff>6498484</xdr:colOff>
      <xdr:row>11</xdr:row>
      <xdr:rowOff>76199</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7300" y="447674"/>
          <a:ext cx="6079384" cy="1628775"/>
        </a:xfrm>
        <a:prstGeom prst="rect">
          <a:avLst/>
        </a:prstGeom>
      </xdr:spPr>
    </xdr:pic>
    <xdr:clientData/>
  </xdr:twoCellAnchor>
  <xdr:twoCellAnchor editAs="oneCell">
    <xdr:from>
      <xdr:col>1</xdr:col>
      <xdr:colOff>0</xdr:colOff>
      <xdr:row>77</xdr:row>
      <xdr:rowOff>0</xdr:rowOff>
    </xdr:from>
    <xdr:to>
      <xdr:col>1</xdr:col>
      <xdr:colOff>5973009</xdr:colOff>
      <xdr:row>109</xdr:row>
      <xdr:rowOff>38999</xdr:rowOff>
    </xdr:to>
    <xdr:pic>
      <xdr:nvPicPr>
        <xdr:cNvPr id="3" name="Image 2">
          <a:extLst>
            <a:ext uri="{FF2B5EF4-FFF2-40B4-BE49-F238E27FC236}">
              <a16:creationId xmlns:a16="http://schemas.microsoft.com/office/drawing/2014/main" id="{24F07704-EF0E-48E8-99B6-C44E717783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8200" y="2305050"/>
          <a:ext cx="5973009" cy="6439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657225</xdr:colOff>
      <xdr:row>91</xdr:row>
      <xdr:rowOff>190500</xdr:rowOff>
    </xdr:from>
    <xdr:to>
      <xdr:col>16</xdr:col>
      <xdr:colOff>410210</xdr:colOff>
      <xdr:row>104</xdr:row>
      <xdr:rowOff>114935</xdr:rowOff>
    </xdr:to>
    <xdr:pic>
      <xdr:nvPicPr>
        <xdr:cNvPr id="2" name="Imag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9240500"/>
          <a:ext cx="5982335" cy="2524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657225</xdr:colOff>
      <xdr:row>91</xdr:row>
      <xdr:rowOff>190500</xdr:rowOff>
    </xdr:from>
    <xdr:to>
      <xdr:col>15</xdr:col>
      <xdr:colOff>229235</xdr:colOff>
      <xdr:row>104</xdr:row>
      <xdr:rowOff>114935</xdr:rowOff>
    </xdr:to>
    <xdr:pic>
      <xdr:nvPicPr>
        <xdr:cNvPr id="3" name="Imag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9240500"/>
          <a:ext cx="5982335" cy="25247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110</xdr:row>
      <xdr:rowOff>57150</xdr:rowOff>
    </xdr:from>
    <xdr:to>
      <xdr:col>14</xdr:col>
      <xdr:colOff>162560</xdr:colOff>
      <xdr:row>122</xdr:row>
      <xdr:rowOff>181610</xdr:rowOff>
    </xdr:to>
    <xdr:pic>
      <xdr:nvPicPr>
        <xdr:cNvPr id="2" name="Imag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3298150"/>
          <a:ext cx="5982335" cy="2524760"/>
        </a:xfrm>
        <a:prstGeom prst="rect">
          <a:avLst/>
        </a:prstGeom>
      </xdr:spPr>
    </xdr:pic>
    <xdr:clientData/>
  </xdr:twoCellAnchor>
  <xdr:twoCellAnchor editAs="oneCell">
    <xdr:from>
      <xdr:col>54</xdr:col>
      <xdr:colOff>365124</xdr:colOff>
      <xdr:row>73</xdr:row>
      <xdr:rowOff>57150</xdr:rowOff>
    </xdr:from>
    <xdr:to>
      <xdr:col>57</xdr:col>
      <xdr:colOff>1323974</xdr:colOff>
      <xdr:row>79</xdr:row>
      <xdr:rowOff>294226</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45349" y="15440025"/>
          <a:ext cx="3101975" cy="1580101"/>
        </a:xfrm>
        <a:prstGeom prst="rect">
          <a:avLst/>
        </a:prstGeom>
      </xdr:spPr>
    </xdr:pic>
    <xdr:clientData/>
  </xdr:twoCellAnchor>
  <xdr:twoCellAnchor editAs="oneCell">
    <xdr:from>
      <xdr:col>54</xdr:col>
      <xdr:colOff>492125</xdr:colOff>
      <xdr:row>79</xdr:row>
      <xdr:rowOff>276225</xdr:rowOff>
    </xdr:from>
    <xdr:to>
      <xdr:col>57</xdr:col>
      <xdr:colOff>1971675</xdr:colOff>
      <xdr:row>94</xdr:row>
      <xdr:rowOff>133398</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772350" y="17183100"/>
          <a:ext cx="3622675" cy="3762423"/>
        </a:xfrm>
        <a:prstGeom prst="rect">
          <a:avLst/>
        </a:prstGeom>
      </xdr:spPr>
    </xdr:pic>
    <xdr:clientData/>
  </xdr:twoCellAnchor>
  <xdr:twoCellAnchor editAs="oneCell">
    <xdr:from>
      <xdr:col>54</xdr:col>
      <xdr:colOff>549275</xdr:colOff>
      <xdr:row>94</xdr:row>
      <xdr:rowOff>120650</xdr:rowOff>
    </xdr:from>
    <xdr:to>
      <xdr:col>57</xdr:col>
      <xdr:colOff>1019175</xdr:colOff>
      <xdr:row>101</xdr:row>
      <xdr:rowOff>250740</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3915350" y="21142325"/>
          <a:ext cx="2613025" cy="1625515"/>
        </a:xfrm>
        <a:prstGeom prst="rect">
          <a:avLst/>
        </a:prstGeom>
      </xdr:spPr>
    </xdr:pic>
    <xdr:clientData/>
  </xdr:twoCellAnchor>
  <xdr:twoCellAnchor editAs="oneCell">
    <xdr:from>
      <xdr:col>45</xdr:col>
      <xdr:colOff>698500</xdr:colOff>
      <xdr:row>89</xdr:row>
      <xdr:rowOff>0</xdr:rowOff>
    </xdr:from>
    <xdr:to>
      <xdr:col>50</xdr:col>
      <xdr:colOff>505252</xdr:colOff>
      <xdr:row>95</xdr:row>
      <xdr:rowOff>228819</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949525" y="20021550"/>
          <a:ext cx="3064302" cy="1533744"/>
        </a:xfrm>
        <a:prstGeom prst="rect">
          <a:avLst/>
        </a:prstGeom>
      </xdr:spPr>
    </xdr:pic>
    <xdr:clientData/>
  </xdr:twoCellAnchor>
  <xdr:twoCellAnchor editAs="oneCell">
    <xdr:from>
      <xdr:col>50</xdr:col>
      <xdr:colOff>635000</xdr:colOff>
      <xdr:row>88</xdr:row>
      <xdr:rowOff>177800</xdr:rowOff>
    </xdr:from>
    <xdr:to>
      <xdr:col>54</xdr:col>
      <xdr:colOff>295275</xdr:colOff>
      <xdr:row>95</xdr:row>
      <xdr:rowOff>116340</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143575" y="19999325"/>
          <a:ext cx="2517775" cy="1443490"/>
        </a:xfrm>
        <a:prstGeom prst="rect">
          <a:avLst/>
        </a:prstGeom>
      </xdr:spPr>
    </xdr:pic>
    <xdr:clientData/>
  </xdr:twoCellAnchor>
  <xdr:twoCellAnchor editAs="oneCell">
    <xdr:from>
      <xdr:col>46</xdr:col>
      <xdr:colOff>381000</xdr:colOff>
      <xdr:row>97</xdr:row>
      <xdr:rowOff>63500</xdr:rowOff>
    </xdr:from>
    <xdr:to>
      <xdr:col>49</xdr:col>
      <xdr:colOff>6596</xdr:colOff>
      <xdr:row>101</xdr:row>
      <xdr:rowOff>139826</xdr:rowOff>
    </xdr:to>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8470225" y="21685250"/>
          <a:ext cx="1768721" cy="895476"/>
        </a:xfrm>
        <a:prstGeom prst="rect">
          <a:avLst/>
        </a:prstGeom>
      </xdr:spPr>
    </xdr:pic>
    <xdr:clientData/>
  </xdr:twoCellAnchor>
  <xdr:twoCellAnchor editAs="oneCell">
    <xdr:from>
      <xdr:col>50</xdr:col>
      <xdr:colOff>422275</xdr:colOff>
      <xdr:row>96</xdr:row>
      <xdr:rowOff>79375</xdr:rowOff>
    </xdr:from>
    <xdr:to>
      <xdr:col>54</xdr:col>
      <xdr:colOff>317883</xdr:colOff>
      <xdr:row>102</xdr:row>
      <xdr:rowOff>108136</xdr:rowOff>
    </xdr:to>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0930850" y="21501100"/>
          <a:ext cx="2753108" cy="1324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110</xdr:row>
      <xdr:rowOff>57150</xdr:rowOff>
    </xdr:from>
    <xdr:to>
      <xdr:col>14</xdr:col>
      <xdr:colOff>162560</xdr:colOff>
      <xdr:row>122</xdr:row>
      <xdr:rowOff>181610</xdr:rowOff>
    </xdr:to>
    <xdr:pic>
      <xdr:nvPicPr>
        <xdr:cNvPr id="2" name="Imag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3298150"/>
          <a:ext cx="5982335" cy="2524760"/>
        </a:xfrm>
        <a:prstGeom prst="rect">
          <a:avLst/>
        </a:prstGeom>
      </xdr:spPr>
    </xdr:pic>
    <xdr:clientData/>
  </xdr:twoCellAnchor>
  <xdr:twoCellAnchor editAs="oneCell">
    <xdr:from>
      <xdr:col>54</xdr:col>
      <xdr:colOff>469899</xdr:colOff>
      <xdr:row>74</xdr:row>
      <xdr:rowOff>190500</xdr:rowOff>
    </xdr:from>
    <xdr:to>
      <xdr:col>57</xdr:col>
      <xdr:colOff>1495425</xdr:colOff>
      <xdr:row>81</xdr:row>
      <xdr:rowOff>189494</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50124" y="15782925"/>
          <a:ext cx="3168651" cy="1818269"/>
        </a:xfrm>
        <a:prstGeom prst="rect">
          <a:avLst/>
        </a:prstGeom>
      </xdr:spPr>
    </xdr:pic>
    <xdr:clientData/>
  </xdr:twoCellAnchor>
  <xdr:twoCellAnchor editAs="oneCell">
    <xdr:from>
      <xdr:col>54</xdr:col>
      <xdr:colOff>406400</xdr:colOff>
      <xdr:row>81</xdr:row>
      <xdr:rowOff>38101</xdr:rowOff>
    </xdr:from>
    <xdr:to>
      <xdr:col>57</xdr:col>
      <xdr:colOff>2200275</xdr:colOff>
      <xdr:row>94</xdr:row>
      <xdr:rowOff>57151</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686625" y="17640301"/>
          <a:ext cx="3937000" cy="3257550"/>
        </a:xfrm>
        <a:prstGeom prst="rect">
          <a:avLst/>
        </a:prstGeom>
      </xdr:spPr>
    </xdr:pic>
    <xdr:clientData/>
  </xdr:twoCellAnchor>
  <xdr:twoCellAnchor editAs="oneCell">
    <xdr:from>
      <xdr:col>54</xdr:col>
      <xdr:colOff>549275</xdr:colOff>
      <xdr:row>94</xdr:row>
      <xdr:rowOff>120650</xdr:rowOff>
    </xdr:from>
    <xdr:to>
      <xdr:col>57</xdr:col>
      <xdr:colOff>1019175</xdr:colOff>
      <xdr:row>101</xdr:row>
      <xdr:rowOff>250740</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3915350" y="21142325"/>
          <a:ext cx="2613025" cy="1625515"/>
        </a:xfrm>
        <a:prstGeom prst="rect">
          <a:avLst/>
        </a:prstGeom>
      </xdr:spPr>
    </xdr:pic>
    <xdr:clientData/>
  </xdr:twoCellAnchor>
  <xdr:twoCellAnchor editAs="oneCell">
    <xdr:from>
      <xdr:col>45</xdr:col>
      <xdr:colOff>698500</xdr:colOff>
      <xdr:row>89</xdr:row>
      <xdr:rowOff>0</xdr:rowOff>
    </xdr:from>
    <xdr:to>
      <xdr:col>50</xdr:col>
      <xdr:colOff>505252</xdr:colOff>
      <xdr:row>95</xdr:row>
      <xdr:rowOff>228819</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949525" y="20021550"/>
          <a:ext cx="3064302" cy="1533744"/>
        </a:xfrm>
        <a:prstGeom prst="rect">
          <a:avLst/>
        </a:prstGeom>
      </xdr:spPr>
    </xdr:pic>
    <xdr:clientData/>
  </xdr:twoCellAnchor>
  <xdr:twoCellAnchor editAs="oneCell">
    <xdr:from>
      <xdr:col>50</xdr:col>
      <xdr:colOff>635000</xdr:colOff>
      <xdr:row>88</xdr:row>
      <xdr:rowOff>177800</xdr:rowOff>
    </xdr:from>
    <xdr:to>
      <xdr:col>54</xdr:col>
      <xdr:colOff>295275</xdr:colOff>
      <xdr:row>95</xdr:row>
      <xdr:rowOff>116340</xdr:rowOff>
    </xdr:to>
    <xdr:pic>
      <xdr:nvPicPr>
        <xdr:cNvPr id="7" name="Imag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143575" y="19999325"/>
          <a:ext cx="2517775" cy="1443490"/>
        </a:xfrm>
        <a:prstGeom prst="rect">
          <a:avLst/>
        </a:prstGeom>
      </xdr:spPr>
    </xdr:pic>
    <xdr:clientData/>
  </xdr:twoCellAnchor>
  <xdr:twoCellAnchor editAs="oneCell">
    <xdr:from>
      <xdr:col>46</xdr:col>
      <xdr:colOff>381000</xdr:colOff>
      <xdr:row>97</xdr:row>
      <xdr:rowOff>63500</xdr:rowOff>
    </xdr:from>
    <xdr:to>
      <xdr:col>49</xdr:col>
      <xdr:colOff>6596</xdr:colOff>
      <xdr:row>101</xdr:row>
      <xdr:rowOff>139826</xdr:rowOff>
    </xdr:to>
    <xdr:pic>
      <xdr:nvPicPr>
        <xdr:cNvPr id="8" name="Imag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8470225" y="21685250"/>
          <a:ext cx="1768721" cy="895476"/>
        </a:xfrm>
        <a:prstGeom prst="rect">
          <a:avLst/>
        </a:prstGeom>
      </xdr:spPr>
    </xdr:pic>
    <xdr:clientData/>
  </xdr:twoCellAnchor>
  <xdr:twoCellAnchor editAs="oneCell">
    <xdr:from>
      <xdr:col>50</xdr:col>
      <xdr:colOff>422275</xdr:colOff>
      <xdr:row>96</xdr:row>
      <xdr:rowOff>79375</xdr:rowOff>
    </xdr:from>
    <xdr:to>
      <xdr:col>54</xdr:col>
      <xdr:colOff>317883</xdr:colOff>
      <xdr:row>102</xdr:row>
      <xdr:rowOff>108136</xdr:rowOff>
    </xdr:to>
    <xdr:pic>
      <xdr:nvPicPr>
        <xdr:cNvPr id="9" name="Imag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0930850" y="21501100"/>
          <a:ext cx="2753108" cy="1324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161925</xdr:colOff>
      <xdr:row>72</xdr:row>
      <xdr:rowOff>57150</xdr:rowOff>
    </xdr:from>
    <xdr:to>
      <xdr:col>14</xdr:col>
      <xdr:colOff>162560</xdr:colOff>
      <xdr:row>80</xdr:row>
      <xdr:rowOff>324485</xdr:rowOff>
    </xdr:to>
    <xdr:pic>
      <xdr:nvPicPr>
        <xdr:cNvPr id="2" name="Imag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3298150"/>
          <a:ext cx="5982335" cy="2524760"/>
        </a:xfrm>
        <a:prstGeom prst="rect">
          <a:avLst/>
        </a:prstGeom>
      </xdr:spPr>
    </xdr:pic>
    <xdr:clientData/>
  </xdr:twoCellAnchor>
  <xdr:twoCellAnchor editAs="oneCell">
    <xdr:from>
      <xdr:col>55</xdr:col>
      <xdr:colOff>469899</xdr:colOff>
      <xdr:row>74</xdr:row>
      <xdr:rowOff>190501</xdr:rowOff>
    </xdr:from>
    <xdr:to>
      <xdr:col>58</xdr:col>
      <xdr:colOff>1123949</xdr:colOff>
      <xdr:row>80</xdr:row>
      <xdr:rowOff>135178</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959799" y="15935326"/>
          <a:ext cx="2797175" cy="1744902"/>
        </a:xfrm>
        <a:prstGeom prst="rect">
          <a:avLst/>
        </a:prstGeom>
      </xdr:spPr>
    </xdr:pic>
    <xdr:clientData/>
  </xdr:twoCellAnchor>
  <xdr:twoCellAnchor editAs="oneCell">
    <xdr:from>
      <xdr:col>55</xdr:col>
      <xdr:colOff>406400</xdr:colOff>
      <xdr:row>81</xdr:row>
      <xdr:rowOff>38101</xdr:rowOff>
    </xdr:from>
    <xdr:to>
      <xdr:col>58</xdr:col>
      <xdr:colOff>1771650</xdr:colOff>
      <xdr:row>92</xdr:row>
      <xdr:rowOff>136960</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896300" y="17916526"/>
          <a:ext cx="3508375" cy="2832534"/>
        </a:xfrm>
        <a:prstGeom prst="rect">
          <a:avLst/>
        </a:prstGeom>
      </xdr:spPr>
    </xdr:pic>
    <xdr:clientData/>
  </xdr:twoCellAnchor>
  <xdr:twoCellAnchor editAs="oneCell">
    <xdr:from>
      <xdr:col>55</xdr:col>
      <xdr:colOff>549275</xdr:colOff>
      <xdr:row>94</xdr:row>
      <xdr:rowOff>120650</xdr:rowOff>
    </xdr:from>
    <xdr:to>
      <xdr:col>58</xdr:col>
      <xdr:colOff>1285875</xdr:colOff>
      <xdr:row>102</xdr:row>
      <xdr:rowOff>145965</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039175" y="21132800"/>
          <a:ext cx="2879725" cy="1625515"/>
        </a:xfrm>
        <a:prstGeom prst="rect">
          <a:avLst/>
        </a:prstGeom>
      </xdr:spPr>
    </xdr:pic>
    <xdr:clientData/>
  </xdr:twoCellAnchor>
  <xdr:twoCellAnchor editAs="oneCell">
    <xdr:from>
      <xdr:col>46</xdr:col>
      <xdr:colOff>698500</xdr:colOff>
      <xdr:row>89</xdr:row>
      <xdr:rowOff>0</xdr:rowOff>
    </xdr:from>
    <xdr:to>
      <xdr:col>51</xdr:col>
      <xdr:colOff>505252</xdr:colOff>
      <xdr:row>96</xdr:row>
      <xdr:rowOff>133569</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949525" y="20021550"/>
          <a:ext cx="3064302" cy="1533744"/>
        </a:xfrm>
        <a:prstGeom prst="rect">
          <a:avLst/>
        </a:prstGeom>
      </xdr:spPr>
    </xdr:pic>
    <xdr:clientData/>
  </xdr:twoCellAnchor>
  <xdr:twoCellAnchor editAs="oneCell">
    <xdr:from>
      <xdr:col>51</xdr:col>
      <xdr:colOff>635000</xdr:colOff>
      <xdr:row>88</xdr:row>
      <xdr:rowOff>177800</xdr:rowOff>
    </xdr:from>
    <xdr:to>
      <xdr:col>55</xdr:col>
      <xdr:colOff>295275</xdr:colOff>
      <xdr:row>96</xdr:row>
      <xdr:rowOff>21090</xdr:rowOff>
    </xdr:to>
    <xdr:pic>
      <xdr:nvPicPr>
        <xdr:cNvPr id="7" name="Imag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143575" y="19999325"/>
          <a:ext cx="2517775" cy="1443490"/>
        </a:xfrm>
        <a:prstGeom prst="rect">
          <a:avLst/>
        </a:prstGeom>
      </xdr:spPr>
    </xdr:pic>
    <xdr:clientData/>
  </xdr:twoCellAnchor>
  <xdr:twoCellAnchor editAs="oneCell">
    <xdr:from>
      <xdr:col>47</xdr:col>
      <xdr:colOff>381000</xdr:colOff>
      <xdr:row>97</xdr:row>
      <xdr:rowOff>63500</xdr:rowOff>
    </xdr:from>
    <xdr:to>
      <xdr:col>50</xdr:col>
      <xdr:colOff>6596</xdr:colOff>
      <xdr:row>101</xdr:row>
      <xdr:rowOff>158876</xdr:rowOff>
    </xdr:to>
    <xdr:pic>
      <xdr:nvPicPr>
        <xdr:cNvPr id="8" name="Imag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8470225" y="21685250"/>
          <a:ext cx="1768721" cy="895476"/>
        </a:xfrm>
        <a:prstGeom prst="rect">
          <a:avLst/>
        </a:prstGeom>
      </xdr:spPr>
    </xdr:pic>
    <xdr:clientData/>
  </xdr:twoCellAnchor>
  <xdr:twoCellAnchor editAs="oneCell">
    <xdr:from>
      <xdr:col>51</xdr:col>
      <xdr:colOff>422275</xdr:colOff>
      <xdr:row>96</xdr:row>
      <xdr:rowOff>79375</xdr:rowOff>
    </xdr:from>
    <xdr:to>
      <xdr:col>55</xdr:col>
      <xdr:colOff>317883</xdr:colOff>
      <xdr:row>103</xdr:row>
      <xdr:rowOff>3361</xdr:rowOff>
    </xdr:to>
    <xdr:pic>
      <xdr:nvPicPr>
        <xdr:cNvPr id="9" name="Imag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0930850" y="21501100"/>
          <a:ext cx="2753108" cy="1324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161925</xdr:colOff>
      <xdr:row>72</xdr:row>
      <xdr:rowOff>57150</xdr:rowOff>
    </xdr:from>
    <xdr:to>
      <xdr:col>14</xdr:col>
      <xdr:colOff>162560</xdr:colOff>
      <xdr:row>80</xdr:row>
      <xdr:rowOff>324485</xdr:rowOff>
    </xdr:to>
    <xdr:pic>
      <xdr:nvPicPr>
        <xdr:cNvPr id="2" name="Imag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5344775"/>
          <a:ext cx="5982335" cy="2524760"/>
        </a:xfrm>
        <a:prstGeom prst="rect">
          <a:avLst/>
        </a:prstGeom>
      </xdr:spPr>
    </xdr:pic>
    <xdr:clientData/>
  </xdr:twoCellAnchor>
  <xdr:twoCellAnchor editAs="oneCell">
    <xdr:from>
      <xdr:col>55</xdr:col>
      <xdr:colOff>469899</xdr:colOff>
      <xdr:row>74</xdr:row>
      <xdr:rowOff>190500</xdr:rowOff>
    </xdr:from>
    <xdr:to>
      <xdr:col>58</xdr:col>
      <xdr:colOff>1485899</xdr:colOff>
      <xdr:row>80</xdr:row>
      <xdr:rowOff>204986</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835974" y="15944850"/>
          <a:ext cx="3159125" cy="1814711"/>
        </a:xfrm>
        <a:prstGeom prst="rect">
          <a:avLst/>
        </a:prstGeom>
      </xdr:spPr>
    </xdr:pic>
    <xdr:clientData/>
  </xdr:twoCellAnchor>
  <xdr:twoCellAnchor editAs="oneCell">
    <xdr:from>
      <xdr:col>55</xdr:col>
      <xdr:colOff>406400</xdr:colOff>
      <xdr:row>81</xdr:row>
      <xdr:rowOff>38100</xdr:rowOff>
    </xdr:from>
    <xdr:to>
      <xdr:col>58</xdr:col>
      <xdr:colOff>1885950</xdr:colOff>
      <xdr:row>94</xdr:row>
      <xdr:rowOff>133398</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772475" y="17926050"/>
          <a:ext cx="3622675" cy="3229023"/>
        </a:xfrm>
        <a:prstGeom prst="rect">
          <a:avLst/>
        </a:prstGeom>
      </xdr:spPr>
    </xdr:pic>
    <xdr:clientData/>
  </xdr:twoCellAnchor>
  <xdr:twoCellAnchor editAs="oneCell">
    <xdr:from>
      <xdr:col>55</xdr:col>
      <xdr:colOff>549275</xdr:colOff>
      <xdr:row>94</xdr:row>
      <xdr:rowOff>120650</xdr:rowOff>
    </xdr:from>
    <xdr:to>
      <xdr:col>58</xdr:col>
      <xdr:colOff>1019175</xdr:colOff>
      <xdr:row>102</xdr:row>
      <xdr:rowOff>145965</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3915350" y="21180425"/>
          <a:ext cx="2613025" cy="1625515"/>
        </a:xfrm>
        <a:prstGeom prst="rect">
          <a:avLst/>
        </a:prstGeom>
      </xdr:spPr>
    </xdr:pic>
    <xdr:clientData/>
  </xdr:twoCellAnchor>
  <xdr:twoCellAnchor editAs="oneCell">
    <xdr:from>
      <xdr:col>46</xdr:col>
      <xdr:colOff>698500</xdr:colOff>
      <xdr:row>89</xdr:row>
      <xdr:rowOff>0</xdr:rowOff>
    </xdr:from>
    <xdr:to>
      <xdr:col>51</xdr:col>
      <xdr:colOff>505252</xdr:colOff>
      <xdr:row>96</xdr:row>
      <xdr:rowOff>133570</xdr:rowOff>
    </xdr:to>
    <xdr:pic>
      <xdr:nvPicPr>
        <xdr:cNvPr id="6" name="Imag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580050" y="23126700"/>
          <a:ext cx="3064302" cy="1533744"/>
        </a:xfrm>
        <a:prstGeom prst="rect">
          <a:avLst/>
        </a:prstGeom>
      </xdr:spPr>
    </xdr:pic>
    <xdr:clientData/>
  </xdr:twoCellAnchor>
  <xdr:twoCellAnchor editAs="oneCell">
    <xdr:from>
      <xdr:col>51</xdr:col>
      <xdr:colOff>635000</xdr:colOff>
      <xdr:row>88</xdr:row>
      <xdr:rowOff>177800</xdr:rowOff>
    </xdr:from>
    <xdr:to>
      <xdr:col>55</xdr:col>
      <xdr:colOff>295275</xdr:colOff>
      <xdr:row>96</xdr:row>
      <xdr:rowOff>21091</xdr:rowOff>
    </xdr:to>
    <xdr:pic>
      <xdr:nvPicPr>
        <xdr:cNvPr id="7" name="Imag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143575" y="20037425"/>
          <a:ext cx="2517775" cy="1443490"/>
        </a:xfrm>
        <a:prstGeom prst="rect">
          <a:avLst/>
        </a:prstGeom>
      </xdr:spPr>
    </xdr:pic>
    <xdr:clientData/>
  </xdr:twoCellAnchor>
  <xdr:twoCellAnchor editAs="oneCell">
    <xdr:from>
      <xdr:col>47</xdr:col>
      <xdr:colOff>381000</xdr:colOff>
      <xdr:row>97</xdr:row>
      <xdr:rowOff>63500</xdr:rowOff>
    </xdr:from>
    <xdr:to>
      <xdr:col>50</xdr:col>
      <xdr:colOff>6596</xdr:colOff>
      <xdr:row>101</xdr:row>
      <xdr:rowOff>158876</xdr:rowOff>
    </xdr:to>
    <xdr:pic>
      <xdr:nvPicPr>
        <xdr:cNvPr id="8" name="Imag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8470225" y="21723350"/>
          <a:ext cx="1768721" cy="895476"/>
        </a:xfrm>
        <a:prstGeom prst="rect">
          <a:avLst/>
        </a:prstGeom>
      </xdr:spPr>
    </xdr:pic>
    <xdr:clientData/>
  </xdr:twoCellAnchor>
  <xdr:twoCellAnchor editAs="oneCell">
    <xdr:from>
      <xdr:col>51</xdr:col>
      <xdr:colOff>422275</xdr:colOff>
      <xdr:row>96</xdr:row>
      <xdr:rowOff>79375</xdr:rowOff>
    </xdr:from>
    <xdr:to>
      <xdr:col>55</xdr:col>
      <xdr:colOff>317883</xdr:colOff>
      <xdr:row>103</xdr:row>
      <xdr:rowOff>3361</xdr:rowOff>
    </xdr:to>
    <xdr:pic>
      <xdr:nvPicPr>
        <xdr:cNvPr id="9" name="Imag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0930850" y="21539200"/>
          <a:ext cx="2753108" cy="1324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69</xdr:col>
      <xdr:colOff>469900</xdr:colOff>
      <xdr:row>81</xdr:row>
      <xdr:rowOff>190500</xdr:rowOff>
    </xdr:from>
    <xdr:to>
      <xdr:col>72</xdr:col>
      <xdr:colOff>965567</xdr:colOff>
      <xdr:row>87</xdr:row>
      <xdr:rowOff>95449</xdr:rowOff>
    </xdr:to>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90300" y="19754850"/>
          <a:ext cx="2638792" cy="1390849"/>
        </a:xfrm>
        <a:prstGeom prst="rect">
          <a:avLst/>
        </a:prstGeom>
      </xdr:spPr>
    </xdr:pic>
    <xdr:clientData/>
  </xdr:twoCellAnchor>
  <xdr:twoCellAnchor editAs="oneCell">
    <xdr:from>
      <xdr:col>69</xdr:col>
      <xdr:colOff>406400</xdr:colOff>
      <xdr:row>88</xdr:row>
      <xdr:rowOff>38100</xdr:rowOff>
    </xdr:from>
    <xdr:to>
      <xdr:col>72</xdr:col>
      <xdr:colOff>1778489</xdr:colOff>
      <xdr:row>100</xdr:row>
      <xdr:rowOff>162368</xdr:rowOff>
    </xdr:to>
    <xdr:pic>
      <xdr:nvPicPr>
        <xdr:cNvPr id="4" name="Imag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326800" y="21336000"/>
          <a:ext cx="3515214" cy="3096068"/>
        </a:xfrm>
        <a:prstGeom prst="rect">
          <a:avLst/>
        </a:prstGeom>
      </xdr:spPr>
    </xdr:pic>
    <xdr:clientData/>
  </xdr:twoCellAnchor>
  <xdr:twoCellAnchor editAs="oneCell">
    <xdr:from>
      <xdr:col>69</xdr:col>
      <xdr:colOff>596900</xdr:colOff>
      <xdr:row>101</xdr:row>
      <xdr:rowOff>63500</xdr:rowOff>
    </xdr:from>
    <xdr:to>
      <xdr:col>72</xdr:col>
      <xdr:colOff>1445041</xdr:colOff>
      <xdr:row>108</xdr:row>
      <xdr:rowOff>238387</xdr:rowOff>
    </xdr:to>
    <xdr:pic>
      <xdr:nvPicPr>
        <xdr:cNvPr id="5" name="Imag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517300" y="24580850"/>
          <a:ext cx="2991266" cy="1860812"/>
        </a:xfrm>
        <a:prstGeom prst="rect">
          <a:avLst/>
        </a:prstGeom>
      </xdr:spPr>
    </xdr:pic>
    <xdr:clientData/>
  </xdr:twoCellAnchor>
  <xdr:twoCellAnchor editAs="oneCell">
    <xdr:from>
      <xdr:col>60</xdr:col>
      <xdr:colOff>698500</xdr:colOff>
      <xdr:row>96</xdr:row>
      <xdr:rowOff>0</xdr:rowOff>
    </xdr:from>
    <xdr:to>
      <xdr:col>65</xdr:col>
      <xdr:colOff>581452</xdr:colOff>
      <xdr:row>102</xdr:row>
      <xdr:rowOff>47844</xdr:rowOff>
    </xdr:to>
    <xdr:pic>
      <xdr:nvPicPr>
        <xdr:cNvPr id="6" name="Imag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580050" y="23279100"/>
          <a:ext cx="3064302" cy="1533744"/>
        </a:xfrm>
        <a:prstGeom prst="rect">
          <a:avLst/>
        </a:prstGeom>
      </xdr:spPr>
    </xdr:pic>
    <xdr:clientData/>
  </xdr:twoCellAnchor>
  <xdr:twoCellAnchor editAs="oneCell">
    <xdr:from>
      <xdr:col>65</xdr:col>
      <xdr:colOff>635000</xdr:colOff>
      <xdr:row>95</xdr:row>
      <xdr:rowOff>177800</xdr:rowOff>
    </xdr:from>
    <xdr:to>
      <xdr:col>69</xdr:col>
      <xdr:colOff>419467</xdr:colOff>
      <xdr:row>101</xdr:row>
      <xdr:rowOff>206592</xdr:rowOff>
    </xdr:to>
    <xdr:pic>
      <xdr:nvPicPr>
        <xdr:cNvPr id="7" name="Imag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97900" y="23209250"/>
          <a:ext cx="2641967" cy="1514692"/>
        </a:xfrm>
        <a:prstGeom prst="rect">
          <a:avLst/>
        </a:prstGeom>
      </xdr:spPr>
    </xdr:pic>
    <xdr:clientData/>
  </xdr:twoCellAnchor>
  <xdr:twoCellAnchor editAs="oneCell">
    <xdr:from>
      <xdr:col>61</xdr:col>
      <xdr:colOff>114300</xdr:colOff>
      <xdr:row>102</xdr:row>
      <xdr:rowOff>215900</xdr:rowOff>
    </xdr:from>
    <xdr:to>
      <xdr:col>63</xdr:col>
      <xdr:colOff>454271</xdr:colOff>
      <xdr:row>106</xdr:row>
      <xdr:rowOff>206501</xdr:rowOff>
    </xdr:to>
    <xdr:pic>
      <xdr:nvPicPr>
        <xdr:cNvPr id="8" name="Imag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3757850" y="24980900"/>
          <a:ext cx="1768721" cy="895476"/>
        </a:xfrm>
        <a:prstGeom prst="rect">
          <a:avLst/>
        </a:prstGeom>
      </xdr:spPr>
    </xdr:pic>
    <xdr:clientData/>
  </xdr:twoCellAnchor>
  <xdr:twoCellAnchor editAs="oneCell">
    <xdr:from>
      <xdr:col>65</xdr:col>
      <xdr:colOff>12700</xdr:colOff>
      <xdr:row>102</xdr:row>
      <xdr:rowOff>203200</xdr:rowOff>
    </xdr:from>
    <xdr:to>
      <xdr:col>68</xdr:col>
      <xdr:colOff>622683</xdr:colOff>
      <xdr:row>108</xdr:row>
      <xdr:rowOff>89086</xdr:rowOff>
    </xdr:to>
    <xdr:pic>
      <xdr:nvPicPr>
        <xdr:cNvPr id="9" name="Imag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6075600" y="24968200"/>
          <a:ext cx="2753108" cy="1324161"/>
        </a:xfrm>
        <a:prstGeom prst="rect">
          <a:avLst/>
        </a:prstGeom>
      </xdr:spPr>
    </xdr:pic>
    <xdr:clientData/>
  </xdr:twoCellAnchor>
  <xdr:twoCellAnchor editAs="oneCell">
    <xdr:from>
      <xdr:col>1</xdr:col>
      <xdr:colOff>1333500</xdr:colOff>
      <xdr:row>84</xdr:row>
      <xdr:rowOff>127000</xdr:rowOff>
    </xdr:from>
    <xdr:to>
      <xdr:col>13</xdr:col>
      <xdr:colOff>407035</xdr:colOff>
      <xdr:row>94</xdr:row>
      <xdr:rowOff>88265</xdr:rowOff>
    </xdr:to>
    <xdr:pic>
      <xdr:nvPicPr>
        <xdr:cNvPr id="10" name="Image 9">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511300" y="21374100"/>
          <a:ext cx="5982335" cy="25012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180975</xdr:rowOff>
        </xdr:from>
        <xdr:to>
          <xdr:col>1</xdr:col>
          <xdr:colOff>752475</xdr:colOff>
          <xdr:row>1</xdr:row>
          <xdr:rowOff>190500</xdr:rowOff>
        </xdr:to>
        <xdr:sp macro="" textlink="">
          <xdr:nvSpPr>
            <xdr:cNvPr id="99329" name="Drop Down 1" hidden="1">
              <a:extLst>
                <a:ext uri="{63B3BB69-23CF-44E3-9099-C40C66FF867C}">
                  <a14:compatExt spid="_x0000_s99329"/>
                </a:ext>
                <a:ext uri="{FF2B5EF4-FFF2-40B4-BE49-F238E27FC236}">
                  <a16:creationId xmlns:a16="http://schemas.microsoft.com/office/drawing/2014/main" id="{00000000-0008-0000-0B00-00000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9</xdr:col>
      <xdr:colOff>660400</xdr:colOff>
      <xdr:row>33</xdr:row>
      <xdr:rowOff>31751</xdr:rowOff>
    </xdr:from>
    <xdr:to>
      <xdr:col>16</xdr:col>
      <xdr:colOff>42008</xdr:colOff>
      <xdr:row>48</xdr:row>
      <xdr:rowOff>194116</xdr:rowOff>
    </xdr:to>
    <xdr:pic>
      <xdr:nvPicPr>
        <xdr:cNvPr id="3" name="Imag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09275" y="6746876"/>
          <a:ext cx="5249008" cy="3153215"/>
        </a:xfrm>
        <a:prstGeom prst="rect">
          <a:avLst/>
        </a:prstGeom>
      </xdr:spPr>
    </xdr:pic>
    <xdr:clientData/>
  </xdr:twoCellAnchor>
  <xdr:twoCellAnchor editAs="oneCell">
    <xdr:from>
      <xdr:col>9</xdr:col>
      <xdr:colOff>736600</xdr:colOff>
      <xdr:row>18</xdr:row>
      <xdr:rowOff>155576</xdr:rowOff>
    </xdr:from>
    <xdr:to>
      <xdr:col>16</xdr:col>
      <xdr:colOff>480208</xdr:colOff>
      <xdr:row>28</xdr:row>
      <xdr:rowOff>79655</xdr:rowOff>
    </xdr:to>
    <xdr:pic>
      <xdr:nvPicPr>
        <xdr:cNvPr id="5" name="Imag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85475" y="3679826"/>
          <a:ext cx="5611008" cy="20005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Mes%20documents/2-A-TRIER/Calendr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e Mensuelle"/>
      <sheetName val="Evenements-Anniversaires"/>
      <sheetName val="Vacances Scolaires"/>
      <sheetName val="Paramètres"/>
    </sheetNames>
    <sheetDataSet>
      <sheetData sheetId="0">
        <row r="2">
          <cell r="M2">
            <v>2015</v>
          </cell>
        </row>
      </sheetData>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9D31BB2-25A9-4D7A-9AB1-60F4D2875891}" name="Absences26810" displayName="Absences26810" ref="AK14:AO114" totalsRowShown="0">
  <autoFilter ref="AK14:AO114" xr:uid="{6FCCCA88-FB43-4DFF-917B-70040F7D5651}"/>
  <tableColumns count="5">
    <tableColumn id="1" xr3:uid="{B2030897-744E-4757-8168-45983236CAB1}" name="nom"/>
    <tableColumn id="6" xr3:uid="{8876B00C-6928-458B-A57E-0C09429F00AF}" name="symbol"/>
    <tableColumn id="3" xr3:uid="{127EF404-41D6-4C46-8964-11BC13C7D227}" name="debut" dataDxfId="1211"/>
    <tableColumn id="4" xr3:uid="{FA1087DC-DECD-43B6-9BB2-B3E75ADBE687}" name="fin" dataDxfId="1210"/>
    <tableColumn id="7" xr3:uid="{0FA80195-E46D-4084-B2E5-FE5729FED50A}" name="Mois du début" dataDxfId="1209">
      <calculatedColumnFormula>Absences26810[[#This Row],[debut]]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482C5E7-5766-45A5-BF90-1696B4BFCF87}" name="Tableau437911" displayName="Tableau437911" ref="AI63:AJ67" totalsRowShown="0">
  <autoFilter ref="AI63:AJ67" xr:uid="{FBA7F055-DE8A-4CFB-95F0-15A6D3243522}"/>
  <tableColumns count="2">
    <tableColumn id="1" xr3:uid="{F1CD8B8F-F9A5-4ECD-B73C-43F2C9F57294}" name="RTT"/>
    <tableColumn id="2" xr3:uid="{FB084BD4-D307-406F-954B-B6A9FF4245E6}" name="49" dataDxfId="120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901E52-BF95-4F00-82F4-470CE9C64FE9}" name="Absences26810126" displayName="Absences26810126" ref="AK14:AO114" totalsRowShown="0">
  <autoFilter ref="AK14:AO114" xr:uid="{6FCCCA88-FB43-4DFF-917B-70040F7D5651}"/>
  <tableColumns count="5">
    <tableColumn id="1" xr3:uid="{FDF9D0D7-3388-43D7-948A-FAC17D8A973F}" name="nom"/>
    <tableColumn id="6" xr3:uid="{34C2F5BA-D3C2-452B-9409-867A24EFE64C}" name="symbol"/>
    <tableColumn id="3" xr3:uid="{A1D0E12C-26AC-43AF-ADA8-D8A720E45D5C}" name="debut" dataDxfId="1207"/>
    <tableColumn id="4" xr3:uid="{35A5E955-EEF2-489B-806D-24FDC0D931F5}" name="fin" dataDxfId="1206"/>
    <tableColumn id="7" xr3:uid="{E77DEB35-7DE8-4D3E-A1AA-FF93D4CB762E}" name="Mois du début" dataDxfId="1205">
      <calculatedColumnFormula>Absences26810126[[#This Row],[debut]]</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5F8636-82AD-48BB-AFDF-DED37E13011E}" name="Tableau437911137" displayName="Tableau437911137" ref="AQ14:AR27" totalsRowShown="0" dataDxfId="1204">
  <autoFilter ref="AQ14:AR27" xr:uid="{FBA7F055-DE8A-4CFB-95F0-15A6D3243522}"/>
  <tableColumns count="2">
    <tableColumn id="1" xr3:uid="{6AAB4EEB-B14B-4A8C-B529-CEB6499A03AE}" name="NOM" dataDxfId="1203"/>
    <tableColumn id="2" xr3:uid="{A308D5AC-F6C8-45BC-96EC-D6AA5A37FCEE}" name="Symbols" dataDxfId="120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798A1CB-8690-4D08-8BC0-9704D4B0BFD8}" name="Absences268101214" displayName="Absences268101214" ref="AK16:AO116" totalsRowShown="0">
  <autoFilter ref="AK16:AO116" xr:uid="{6FCCCA88-FB43-4DFF-917B-70040F7D5651}"/>
  <tableColumns count="5">
    <tableColumn id="1" xr3:uid="{CDE9A207-9F41-40FB-A82E-077F87E84BBA}" name="nom"/>
    <tableColumn id="6" xr3:uid="{B2AE0BCE-E11E-43D5-BBF1-F44A808E7AAE}" name="symbol"/>
    <tableColumn id="3" xr3:uid="{3F800349-F8BA-4718-9469-66E1268636B2}" name="debut" dataDxfId="1201"/>
    <tableColumn id="4" xr3:uid="{EF65EE4D-5FAE-4704-B930-AF5985EF0E24}" name="fin" dataDxfId="1200"/>
    <tableColumn id="7" xr3:uid="{C0CD284A-29FF-4B58-BEE7-61C0D0D81E10}" name="Mois du début" dataDxfId="1199">
      <calculatedColumnFormula>Absences268101214[[#This Row],[debut]]</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205398-2832-4E76-B113-A8B97AC62BF2}" name="Tableau4379111378" displayName="Tableau4379111378" ref="AQ15:AR28" totalsRowShown="0" dataDxfId="1198">
  <autoFilter ref="AQ15:AR28" xr:uid="{52273397-5543-499F-8CC7-248024315717}"/>
  <tableColumns count="2">
    <tableColumn id="1" xr3:uid="{24C2E805-2B45-4C4A-8ADD-11BAA649237D}" name="NOM" dataDxfId="1197"/>
    <tableColumn id="2" xr3:uid="{39CD5BEF-C696-4520-8419-DDB77CD12B0E}" name="Symbols" dataDxfId="119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7869AB-5F43-4EBA-95FA-FE435F4E7FEB}" name="Absences2681012149" displayName="Absences2681012149" ref="AK16:AO116" totalsRowShown="0">
  <autoFilter ref="AK16:AO116" xr:uid="{6FCCCA88-FB43-4DFF-917B-70040F7D5651}"/>
  <tableColumns count="5">
    <tableColumn id="1" xr3:uid="{2FF0802A-E53D-4061-83A0-0B0D0A98A0EC}" name="nom"/>
    <tableColumn id="6" xr3:uid="{BF0E4AB0-F7B5-402E-970A-14E290DD0DD8}" name="symbol"/>
    <tableColumn id="3" xr3:uid="{EC5B2D07-7577-4C4C-81A6-477D08DFC2B6}" name="debut" dataDxfId="1195"/>
    <tableColumn id="4" xr3:uid="{A57A0F87-5802-4588-8AFC-2BE607F951BA}" name="fin" dataDxfId="1194"/>
    <tableColumn id="7" xr3:uid="{2A1F3891-1B67-43E5-9164-A8577FB6DC42}" name="Mois du début" dataDxfId="1193">
      <calculatedColumnFormula>Absences2681012149[[#This Row],[debut]]</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374FF67-6A8D-415A-B82F-F14538B0D1E4}" name="Tableau437911137812" displayName="Tableau437911137812" ref="AQ15:AR28" totalsRowShown="0" dataDxfId="1192">
  <autoFilter ref="AQ15:AR28" xr:uid="{52273397-5543-499F-8CC7-248024315717}"/>
  <tableColumns count="2">
    <tableColumn id="1" xr3:uid="{73C91425-F7CC-41BD-BF54-AAEFF569C0C6}" name="NOM" dataDxfId="1191"/>
    <tableColumn id="2" xr3:uid="{9A84D75B-6099-4708-BB4E-FE9C2D77DD72}" name="Symbols" dataDxfId="119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0BE841-7119-4625-8016-CF93F43EF1B3}" name="Absences26810121424" displayName="Absences26810121424" ref="AM19:AQ119" totalsRowShown="0" headerRowDxfId="1189">
  <autoFilter ref="AM19:AQ119" xr:uid="{6FCCCA88-FB43-4DFF-917B-70040F7D5651}"/>
  <tableColumns count="5">
    <tableColumn id="1" xr3:uid="{5C1703A1-0898-4808-9092-BF828D0873C5}" name="nom" dataDxfId="1188"/>
    <tableColumn id="6" xr3:uid="{B39C0948-865C-45D3-9D4F-7BFEB35EF71D}" name="symbol"/>
    <tableColumn id="3" xr3:uid="{4C608EFF-5AE0-414B-8A74-55D49576B63A}" name="debut" dataDxfId="1187"/>
    <tableColumn id="4" xr3:uid="{D4A8C28F-E9B6-4DF7-A83A-1464B03960D5}" name="fin" dataDxfId="1186"/>
    <tableColumn id="7" xr3:uid="{E6ECE617-D766-43BE-95ED-85CAFCE290CB}" name="Mois du début" dataDxfId="1185">
      <calculatedColumnFormula>Absences26810121424[[#This Row],[debut]]</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2C2837A-EA25-4AAA-898E-BA8D84B5EAAA}" name="Tableau43791113781215" displayName="Tableau43791113781215" ref="AS19:AT32" totalsRowShown="0" dataDxfId="1184">
  <autoFilter ref="AS19:AT32" xr:uid="{41257E48-F1B8-45F1-A365-50BDFA045250}"/>
  <tableColumns count="2">
    <tableColumn id="1" xr3:uid="{48A872AF-B280-4A9F-A2D3-668CDE47A3FF}" name="NOM" dataDxfId="1183"/>
    <tableColumn id="2" xr3:uid="{9342191F-1CFE-4818-8AB8-F0D4F99D72CD}" name="Symbols" dataDxfId="118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6B48F-1CC6-4B5A-B327-4D766CFFAFC9}" name="Absences268101214242" displayName="Absences268101214242" ref="AM19:AQ119" totalsRowShown="0" headerRowDxfId="1181">
  <autoFilter ref="AM19:AQ119" xr:uid="{6FCCCA88-FB43-4DFF-917B-70040F7D5651}"/>
  <tableColumns count="5">
    <tableColumn id="1" xr3:uid="{ADC363B0-D0A1-4852-9B28-5ECFF60EFC5B}" name="nom"/>
    <tableColumn id="6" xr3:uid="{17274B2B-7531-48D4-9D0F-9FF64D3310EC}" name="symbol"/>
    <tableColumn id="3" xr3:uid="{851E5A68-44E0-4759-BCE5-55403AD9200D}" name="debut" dataDxfId="1180"/>
    <tableColumn id="4" xr3:uid="{C401134E-2D88-43AE-B054-BDF75D929796}" name="fin" dataDxfId="1179"/>
    <tableColumn id="7" xr3:uid="{B6B025D1-623D-4234-8154-7A4A01431B6B}" name="Mois du début" dataDxfId="1178">
      <calculatedColumnFormula>Absences268101214242[[#This Row],[debut]]</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C987DD0-2B73-4E7F-8EEB-D78977E81206}" name="Tableau4379111378121516" displayName="Tableau4379111378121516" ref="AS19:AT32" totalsRowShown="0" dataDxfId="1177">
  <autoFilter ref="AS19:AT32" xr:uid="{BC92CDD2-ED52-4603-94F8-DC7FE7CC1919}"/>
  <tableColumns count="2">
    <tableColumn id="1" xr3:uid="{73F7A5CD-8D3E-42E3-8D10-BB338114CFEA}" name="NOM" dataDxfId="1176"/>
    <tableColumn id="2" xr3:uid="{1692C2D8-8F20-4892-96B0-6C71A80B66D9}" name="Symbols" dataDxfId="1175"/>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channel/UCK4qfUuh9kpBByJFIMBPTtA/playlists" TargetMode="External"/><Relationship Id="rId13" Type="http://schemas.openxmlformats.org/officeDocument/2006/relationships/hyperlink" Target="https://www.excel-exercice.com/somme-si-ens/" TargetMode="External"/><Relationship Id="rId18" Type="http://schemas.openxmlformats.org/officeDocument/2006/relationships/hyperlink" Target="https://www.youtube.com/watch?v=yk_ypXvUaHo" TargetMode="External"/><Relationship Id="rId26" Type="http://schemas.openxmlformats.org/officeDocument/2006/relationships/hyperlink" Target="https://www.google.com/search?q=Diff%C3%A9rence+entre+un+fichier+XLS+et+XLSX+(ou+XLSM)&amp;rlz=1C1AVFC_enFR845FR845&amp;oq=Diff%C3%A9rence+entre+un+fichier+XLS+et+XLSX+(ou+XLSM)&amp;aqs=chrome..69i57j33.2926j0j15&amp;sourceid=chrome&amp;ie=UTF-8" TargetMode="External"/><Relationship Id="rId3" Type="http://schemas.openxmlformats.org/officeDocument/2006/relationships/hyperlink" Target="https://www.google.fr/search?q=piffom%C3%A9trie&amp;ie=utf-8&amp;oe=utf-8&amp;client=firefox-b&amp;gfe_rd=cr&amp;dcr=0&amp;ei=yYrYWZrKMYfAaMTIipgK" TargetMode="External"/><Relationship Id="rId21" Type="http://schemas.openxmlformats.org/officeDocument/2006/relationships/hyperlink" Target="https://www.youtube.com/watch?v=HoP5kZ-f-EA&amp;ab_channel=excelexercice" TargetMode="External"/><Relationship Id="rId34" Type="http://schemas.openxmlformats.org/officeDocument/2006/relationships/hyperlink" Target="https://www.google.com/search?q=supprimer+protection+excel&amp;rlz=1C1AVFC_enFR845FR845&amp;sxsrf=ALeKk00mhpcb83s7OPVD4b7yBCmqM6t6_A:1610820129331&amp;source=lnms&amp;tbm=vid&amp;sa=X&amp;ved=2ahUKEwij8OvMhKHuAhX06OAKHfnFDMIQ_AUoAXoECAwQAw&amp;biw=1800&amp;bih=946" TargetMode="External"/><Relationship Id="rId7" Type="http://schemas.openxmlformats.org/officeDocument/2006/relationships/hyperlink" Target="https://www.youtube.com/c/TutoDeRien/playlists" TargetMode="External"/><Relationship Id="rId12" Type="http://schemas.openxmlformats.org/officeDocument/2006/relationships/hyperlink" Target="https://www.google.com/search?q=Diff%C3%A9rence+entre+un+fichier+XLS+et+XLSX+(ou+XLSM)&amp;rlz=1C1AVFC_enFR845FR845&amp;oq=Diff%C3%A9rence+entre+un+fichier+XLS+et+XLSX+(ou+XLSM)&amp;aqs=chrome..69i57j33.2926j0j15&amp;sourceid=chrome&amp;ie=UTF-8" TargetMode="External"/><Relationship Id="rId17" Type="http://schemas.openxmlformats.org/officeDocument/2006/relationships/hyperlink" Target="https://www.superprof.fr/blog/conseils-pratiques-en-maths/" TargetMode="External"/><Relationship Id="rId25" Type="http://schemas.openxmlformats.org/officeDocument/2006/relationships/hyperlink" Target="https://www.youtube.com/watch?v=li4XNespLxg" TargetMode="External"/><Relationship Id="rId33" Type="http://schemas.openxmlformats.org/officeDocument/2006/relationships/hyperlink" Target="https://fr.wikihow.com/Accueil" TargetMode="External"/><Relationship Id="rId2" Type="http://schemas.openxmlformats.org/officeDocument/2006/relationships/hyperlink" Target="http://www.excel-downloads.com/remository/Download/Professionnels/Planification-et-gestion-de-projets/SPACE.html" TargetMode="External"/><Relationship Id="rId16" Type="http://schemas.openxmlformats.org/officeDocument/2006/relationships/hyperlink" Target="https://www.ionos.fr/digitalguide/web-marketing/vendre-sur-internet/fonction-si-excel/" TargetMode="External"/><Relationship Id="rId20" Type="http://schemas.openxmlformats.org/officeDocument/2006/relationships/hyperlink" Target="https://support.office.com/fr-fr/article/combiner-le-texte-de-deux-cellules-ou-plus-en-une-cellule-81ba0946-ce78-42ed-b3c3-21340eb164a6" TargetMode="External"/><Relationship Id="rId29" Type="http://schemas.openxmlformats.org/officeDocument/2006/relationships/hyperlink" Target="https://www.ionos.fr/digitalguide/web-marketing/vendre-sur-internet/alternatives-gratuites-a-microsoft-excel/" TargetMode="External"/><Relationship Id="rId1" Type="http://schemas.openxmlformats.org/officeDocument/2006/relationships/hyperlink" Target="http://www.excel-downloads.com/forum/111720-space.html" TargetMode="External"/><Relationship Id="rId6" Type="http://schemas.openxmlformats.org/officeDocument/2006/relationships/hyperlink" Target="https://support.microsoft.com/fr-fr/excel" TargetMode="External"/><Relationship Id="rId11" Type="http://schemas.openxmlformats.org/officeDocument/2006/relationships/hyperlink" Target="https://www.youtube.com/watch?v=li4XNespLxg" TargetMode="External"/><Relationship Id="rId24" Type="http://schemas.openxmlformats.org/officeDocument/2006/relationships/hyperlink" Target="https://www.youtube.com/watch?v=YfGrccEQGKk" TargetMode="External"/><Relationship Id="rId32" Type="http://schemas.openxmlformats.org/officeDocument/2006/relationships/hyperlink" Target="https://www.excel-exercice.com/" TargetMode="External"/><Relationship Id="rId5" Type="http://schemas.openxmlformats.org/officeDocument/2006/relationships/hyperlink" Target="https://www.youtube.com/c/K%C3%A9vinBrundu/videos" TargetMode="External"/><Relationship Id="rId15" Type="http://schemas.openxmlformats.org/officeDocument/2006/relationships/hyperlink" Target="https://www.ionos.fr/digitalguide/web-marketing/vendre-sur-internet/alternatives-gratuites-a-microsoft-excel/" TargetMode="External"/><Relationship Id="rId23" Type="http://schemas.openxmlformats.org/officeDocument/2006/relationships/hyperlink" Target="https://www.google.fr/search?q=piffom%C3%A9trie&amp;ie=utf-8&amp;oe=utf-8&amp;client=firefox-b&amp;gfe_rd=cr&amp;dcr=0&amp;ei=yYrYWZrKMYfAaMTIipgK" TargetMode="External"/><Relationship Id="rId28" Type="http://schemas.openxmlformats.org/officeDocument/2006/relationships/hyperlink" Target="https://forums.commentcamarche.net/forum/bureautique-25" TargetMode="External"/><Relationship Id="rId36" Type="http://schemas.openxmlformats.org/officeDocument/2006/relationships/drawing" Target="../drawings/drawing1.xml"/><Relationship Id="rId10" Type="http://schemas.openxmlformats.org/officeDocument/2006/relationships/hyperlink" Target="https://www.youtube.com/watch?v=YfGrccEQGKk" TargetMode="External"/><Relationship Id="rId19" Type="http://schemas.openxmlformats.org/officeDocument/2006/relationships/hyperlink" Target="https://www.informatique-bureautique.com/moodle/mod/page/view.php?id=5026" TargetMode="External"/><Relationship Id="rId31" Type="http://schemas.openxmlformats.org/officeDocument/2006/relationships/hyperlink" Target="https://www.superprof.fr/blog/conseils-pratiques-en-maths/" TargetMode="External"/><Relationship Id="rId4" Type="http://schemas.openxmlformats.org/officeDocument/2006/relationships/hyperlink" Target="https://www.youtube.com/watch?v=e2kzRDcW5iI" TargetMode="External"/><Relationship Id="rId9" Type="http://schemas.openxmlformats.org/officeDocument/2006/relationships/hyperlink" Target="https://www.youtube.com/user/ExcelExercice/videos" TargetMode="External"/><Relationship Id="rId14" Type="http://schemas.openxmlformats.org/officeDocument/2006/relationships/hyperlink" Target="https://forums.commentcamarche.net/forum/bureautique-25" TargetMode="External"/><Relationship Id="rId22" Type="http://schemas.openxmlformats.org/officeDocument/2006/relationships/hyperlink" Target="http://www.mdf-xlpages.com/modules/publisher/item.php?itemid=91" TargetMode="External"/><Relationship Id="rId27" Type="http://schemas.openxmlformats.org/officeDocument/2006/relationships/hyperlink" Target="https://www.excel-exercice.com/trouver-les-liens-externes-dun-classeur/" TargetMode="External"/><Relationship Id="rId30" Type="http://schemas.openxmlformats.org/officeDocument/2006/relationships/hyperlink" Target="https://www.ionos.fr/digitalguide/web-marketing/vendre-sur-internet/fonction-si-excel/" TargetMode="External"/><Relationship Id="rId35"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eveloppez.net/forums/d1380028/logiciels/microsoft-office/excel/formule-afficher-jour-semaine/" TargetMode="External"/><Relationship Id="rId13" Type="http://schemas.openxmlformats.org/officeDocument/2006/relationships/hyperlink" Target="https://www.excel-exercice.com/creation-dun-calendrier-automatique/" TargetMode="External"/><Relationship Id="rId18" Type="http://schemas.openxmlformats.org/officeDocument/2006/relationships/hyperlink" Target="https://www.youtube.com/watch?v=dXgRl40cd0I&amp;ab_channel=TutoDeRien" TargetMode="External"/><Relationship Id="rId26" Type="http://schemas.openxmlformats.org/officeDocument/2006/relationships/hyperlink" Target="https://www.google.com/search?q=mod%C3%A8les+excel&amp;rlz=1C1AVFC_enFR845FR845&amp;oq=mod%C3%A8les+excel&amp;aqs=chrome..69i57j0l2j0i395l2j0i22i30i395l3.9488j1j15&amp;sourceid=chrome&amp;ie=UTF-8" TargetMode="External"/><Relationship Id="rId3" Type="http://schemas.openxmlformats.org/officeDocument/2006/relationships/hyperlink" Target="https://www.youtube.com/watch?v=NQTVwwUi9Xw&amp;ab_channel=K%C3%A9vinBrundu" TargetMode="External"/><Relationship Id="rId21" Type="http://schemas.openxmlformats.org/officeDocument/2006/relationships/hyperlink" Target="https://www.01net.com/astuces/comment-colorer-les-jours-feries-dun-champ-145077.html" TargetMode="External"/><Relationship Id="rId7" Type="http://schemas.openxmlformats.org/officeDocument/2006/relationships/hyperlink" Target="https://forum.excel-pratique.com/excel/fonction-si-et-jour-de-semaine-t29868.html" TargetMode="External"/><Relationship Id="rId12" Type="http://schemas.openxmlformats.org/officeDocument/2006/relationships/hyperlink" Target="https://www.excel-exercice.com/fonction-si/" TargetMode="External"/><Relationship Id="rId17" Type="http://schemas.openxmlformats.org/officeDocument/2006/relationships/hyperlink" Target="https://www.excel-pratique.com/fr/cours/excel_mises_en_forme_conditionnelles_exemples3" TargetMode="External"/><Relationship Id="rId25" Type="http://schemas.openxmlformats.org/officeDocument/2006/relationships/hyperlink" Target="https://support.microsoft.com/fr-fr/office/comment-%c3%a9viter-les-formules-incorrectes-8309381d-33e8-42f6-b889-84ef6df1d586?ns=excel&amp;version=90&amp;syslcid=1036&amp;uilcid=1036&amp;appver=zxl900&amp;helpid=xlmain11.chm196624&amp;ui=fr-fr&amp;rs=fr-fr&amp;ad=fr" TargetMode="External"/><Relationship Id="rId2" Type="http://schemas.openxmlformats.org/officeDocument/2006/relationships/hyperlink" Target="https://www.youtube.com/watch?v=9J8ow4HzAOg&amp;ab_channel=DocteurExcel" TargetMode="External"/><Relationship Id="rId16" Type="http://schemas.openxmlformats.org/officeDocument/2006/relationships/hyperlink" Target="https://www.lecfomasque.com/excel-utiliser-le-format-conditionnel-pour-mettre-en-evidence-les-journees-du-week-end/" TargetMode="External"/><Relationship Id="rId20" Type="http://schemas.openxmlformats.org/officeDocument/2006/relationships/hyperlink" Target="https://www.excel-downloads.com/threads/mise-en-forme-conditionnelle-sur-jours-feries.23305/" TargetMode="External"/><Relationship Id="rId29" Type="http://schemas.openxmlformats.org/officeDocument/2006/relationships/drawing" Target="../drawings/drawing2.xml"/><Relationship Id="rId1" Type="http://schemas.openxmlformats.org/officeDocument/2006/relationships/hyperlink" Target="https://people.unil.ch/jacquelinefrey/2016/04/excel-creer-un-planning-avec-mise-en-forme-conditionnelle/" TargetMode="External"/><Relationship Id="rId6" Type="http://schemas.openxmlformats.org/officeDocument/2006/relationships/hyperlink" Target="https://www.youtube.com/watch?v=rxmjn1E2xsw&amp;ab_channel=excelexercice" TargetMode="External"/><Relationship Id="rId11" Type="http://schemas.openxmlformats.org/officeDocument/2006/relationships/hyperlink" Target="https://people.unil.ch/jacquelinefrey/2016/04/excel-creer-un-planning-avec-mise-en-forme-conditionnelle/" TargetMode="External"/><Relationship Id="rId24" Type="http://schemas.openxmlformats.org/officeDocument/2006/relationships/hyperlink" Target="https://www.youtube.com/watch?app=desktop&amp;v=JnOoYQ1oc24&amp;ab_channel=TutoDeRien" TargetMode="External"/><Relationship Id="rId5" Type="http://schemas.openxmlformats.org/officeDocument/2006/relationships/hyperlink" Target="https://www.youtube.com/watch?v=By-eQftnpHU&amp;ab_channel=DocteurExcel" TargetMode="External"/><Relationship Id="rId15" Type="http://schemas.openxmlformats.org/officeDocument/2006/relationships/hyperlink" Target="https://www.excel-exercice.com/changer-la-couleur-des-weekends/" TargetMode="External"/><Relationship Id="rId23" Type="http://schemas.openxmlformats.org/officeDocument/2006/relationships/hyperlink" Target="https://www.youtube.com/watch?app=desktop&amp;v=K-XuPxdp84g&amp;ab_channel=TutoDeRien" TargetMode="External"/><Relationship Id="rId28" Type="http://schemas.openxmlformats.org/officeDocument/2006/relationships/printerSettings" Target="../printerSettings/printerSettings2.bin"/><Relationship Id="rId10" Type="http://schemas.openxmlformats.org/officeDocument/2006/relationships/hyperlink" Target="http://www.docexcel.com/joursem-1483" TargetMode="External"/><Relationship Id="rId19" Type="http://schemas.openxmlformats.org/officeDocument/2006/relationships/hyperlink" Target="https://www.youtube.com/watch?v=rxmjn1E2xsw&amp;ab_channel=excelexercice" TargetMode="External"/><Relationship Id="rId31" Type="http://schemas.openxmlformats.org/officeDocument/2006/relationships/comments" Target="../comments1.xml"/><Relationship Id="rId4" Type="http://schemas.openxmlformats.org/officeDocument/2006/relationships/hyperlink" Target="https://www.youtube.com/watch?v=FnDOZyLVQok&amp;ab_channel=FILIM" TargetMode="External"/><Relationship Id="rId9" Type="http://schemas.openxmlformats.org/officeDocument/2006/relationships/hyperlink" Target="https://www.excel-exercice.com/jours-de-semaine-et-jours-ouvres/" TargetMode="External"/><Relationship Id="rId14" Type="http://schemas.openxmlformats.org/officeDocument/2006/relationships/hyperlink" Target="https://www.excel-exercice.com/jours-de-semaine-et-jours-ouvres/" TargetMode="External"/><Relationship Id="rId22" Type="http://schemas.openxmlformats.org/officeDocument/2006/relationships/hyperlink" Target="https://www.youtube.com/watch?app=desktop&amp;v=4lM4ayHeqH0&amp;ab_channel=TutoDeRien" TargetMode="External"/><Relationship Id="rId27" Type="http://schemas.openxmlformats.org/officeDocument/2006/relationships/hyperlink" Target="https://www.google.com/search?q=mod%C3%A8les+excel&amp;rlz=1C1AVFC_enFR845FR845&amp;sxsrf=ALeKk02HzdKDpQB8vF3mFQ-eB3aSc7uNPA:1611673704911&amp;source=lnms&amp;tbm=vid&amp;sa=X&amp;ved=2ahUKEwi46rK18LnuAhULxIUKHR5FBCoQ_AUoAnoECB0QBA&amp;biw=1800&amp;bih=946" TargetMode="External"/><Relationship Id="rId30"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outube.com/watch?v=dXgRl40cd0I&amp;ab_channel=TutoDeRien"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omments" Target="../comments2.xml"/><Relationship Id="rId2" Type="http://schemas.openxmlformats.org/officeDocument/2006/relationships/printerSettings" Target="../printerSettings/printerSettings4.bin"/><Relationship Id="rId1" Type="http://schemas.openxmlformats.org/officeDocument/2006/relationships/hyperlink" Target="https://www.youtube.com/watch?v=dXgRl40cd0I&amp;ab_channel=TutoDeRien"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comments" Target="../comments3.xml"/><Relationship Id="rId2" Type="http://schemas.openxmlformats.org/officeDocument/2006/relationships/printerSettings" Target="../printerSettings/printerSettings5.bin"/><Relationship Id="rId1" Type="http://schemas.openxmlformats.org/officeDocument/2006/relationships/hyperlink" Target="https://www.youtube.com/watch?v=dXgRl40cd0I&amp;ab_channel=TutoDeRien"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omments" Target="../comments4.xml"/><Relationship Id="rId2" Type="http://schemas.openxmlformats.org/officeDocument/2006/relationships/printerSettings" Target="../printerSettings/printerSettings6.bin"/><Relationship Id="rId1" Type="http://schemas.openxmlformats.org/officeDocument/2006/relationships/hyperlink" Target="https://www.youtube.com/watch?v=dXgRl40cd0I&amp;ab_channel=TutoDeRien" TargetMode="Externa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7" Type="http://schemas.openxmlformats.org/officeDocument/2006/relationships/comments" Target="../comments5.xml"/><Relationship Id="rId2" Type="http://schemas.openxmlformats.org/officeDocument/2006/relationships/printerSettings" Target="../printerSettings/printerSettings7.bin"/><Relationship Id="rId1" Type="http://schemas.openxmlformats.org/officeDocument/2006/relationships/hyperlink" Target="https://www.youtube.com/watch?v=dXgRl40cd0I&amp;ab_channel=TutoDeRien" TargetMode="Externa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7" Type="http://schemas.openxmlformats.org/officeDocument/2006/relationships/comments" Target="../comments6.xml"/><Relationship Id="rId2" Type="http://schemas.openxmlformats.org/officeDocument/2006/relationships/printerSettings" Target="../printerSettings/printerSettings8.bin"/><Relationship Id="rId1" Type="http://schemas.openxmlformats.org/officeDocument/2006/relationships/hyperlink" Target="https://www.youtube.com/watch?v=dXgRl40cd0I&amp;ab_channel=TutoDeRien" TargetMode="Externa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www.youtube.com/watch?v=JnOoYQ1oc24&amp;ab_channel=TutoDeRien" TargetMode="External"/><Relationship Id="rId7" Type="http://schemas.openxmlformats.org/officeDocument/2006/relationships/printerSettings" Target="../printerSettings/printerSettings9.bin"/><Relationship Id="rId2" Type="http://schemas.openxmlformats.org/officeDocument/2006/relationships/hyperlink" Target="https://www.espace-droit-prevention.com/fiches-pratiques/regles-communes/temps-de-travail-dans-la-fonction-publique-hospitaliere" TargetMode="External"/><Relationship Id="rId1" Type="http://schemas.openxmlformats.org/officeDocument/2006/relationships/hyperlink" Target="https://www.espace-droit-prevention.com/fiches-pratiques/regles-communes/temps-de-travail-dans-la-fonction-publique-territoriale-0" TargetMode="External"/><Relationship Id="rId6" Type="http://schemas.openxmlformats.org/officeDocument/2006/relationships/hyperlink" Target="https://forums.commentcamarche.net/forum/affich-35622137-mettre-les-jours-feries-en-couleur" TargetMode="External"/><Relationship Id="rId5" Type="http://schemas.openxmlformats.org/officeDocument/2006/relationships/hyperlink" Target="https://www.youtube.com/watch?v=4lM4ayHeqH0&amp;ab_channel=TutoDeRien" TargetMode="External"/><Relationship Id="rId10" Type="http://schemas.openxmlformats.org/officeDocument/2006/relationships/comments" Target="../comments7.xml"/><Relationship Id="rId4" Type="http://schemas.openxmlformats.org/officeDocument/2006/relationships/hyperlink" Target="https://www.youtube.com/watch?v=K-XuPxdp84g&amp;ab_channel=TutoDeRien" TargetMode="External"/><Relationship Id="rId9"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space-droit-prevention.com/fiches-pratiques/regles-communes/temps-de-travail-dans-la-fonction-publique-hospitaliere" TargetMode="External"/><Relationship Id="rId1" Type="http://schemas.openxmlformats.org/officeDocument/2006/relationships/hyperlink" Target="https://www.espace-droit-prevention.com/fiches-pratiques/regles-communes/temps-de-travail-dans-la-fonction-publique-territoriale-0"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8" Type="http://schemas.openxmlformats.org/officeDocument/2006/relationships/hyperlink" Target="https://drhvirtuel.com/tableau-calcul-effectif-rh/" TargetMode="External"/><Relationship Id="rId13" Type="http://schemas.openxmlformats.org/officeDocument/2006/relationships/hyperlink" Target="https://fr.wikihow.com/calculer-un-%C3%A9quivalent-temps-plein-(ETP)" TargetMode="External"/><Relationship Id="rId18" Type="http://schemas.openxmlformats.org/officeDocument/2006/relationships/comments" Target="../comments9.xml"/><Relationship Id="rId3" Type="http://schemas.openxmlformats.org/officeDocument/2006/relationships/hyperlink" Target="https://www.espace-droit-prevention.com/fiches-pratiques/regles-communes/temps-de-travail-dans-la-fonction-publique-territoriale-0" TargetMode="External"/><Relationship Id="rId7" Type="http://schemas.openxmlformats.org/officeDocument/2006/relationships/hyperlink" Target="https://www.youtube.com/watch?v=9UeM-0amkSQ&amp;ab_channel=netprof" TargetMode="External"/><Relationship Id="rId12" Type="http://schemas.openxmlformats.org/officeDocument/2006/relationships/hyperlink" Target="https://code.travail.gouv.fr/fiche-service-public/comment-calculer-les-effectifs-dune-entreprise" TargetMode="External"/><Relationship Id="rId17" Type="http://schemas.openxmlformats.org/officeDocument/2006/relationships/vmlDrawing" Target="../drawings/vmlDrawing10.vml"/><Relationship Id="rId2" Type="http://schemas.openxmlformats.org/officeDocument/2006/relationships/hyperlink" Target="https://www.service-public.fr/particuliers/vosdroits/N20276" TargetMode="External"/><Relationship Id="rId16" Type="http://schemas.openxmlformats.org/officeDocument/2006/relationships/drawing" Target="../drawings/drawing11.xml"/><Relationship Id="rId1" Type="http://schemas.openxmlformats.org/officeDocument/2006/relationships/hyperlink" Target="https://www.excel-pratique.com/fr/telechargements/utilitaires-c17" TargetMode="External"/><Relationship Id="rId6" Type="http://schemas.openxmlformats.org/officeDocument/2006/relationships/hyperlink" Target="https://www.appvizer.fr/magazine/ressources-humaines/taux-rotation-personnel" TargetMode="External"/><Relationship Id="rId11" Type="http://schemas.openxmlformats.org/officeDocument/2006/relationships/hyperlink" Target="https://blog.injixo.com/fr" TargetMode="External"/><Relationship Id="rId5" Type="http://schemas.openxmlformats.org/officeDocument/2006/relationships/hyperlink" Target="https://www.tutoderien.com/gestion-du-personnel-absence-et-temps-de-travail/" TargetMode="External"/><Relationship Id="rId15" Type="http://schemas.openxmlformats.org/officeDocument/2006/relationships/printerSettings" Target="../printerSettings/printerSettings13.bin"/><Relationship Id="rId10" Type="http://schemas.openxmlformats.org/officeDocument/2006/relationships/hyperlink" Target="https://blog.injixo.com/fr/les-fondamentaux-de-la-pr%C3%A9vision-en-centre-de-contacts-3-combler-les-%C3%A9carts-entre-le-besoin-en-personnel-et-le-personnel-disponible" TargetMode="External"/><Relationship Id="rId4" Type="http://schemas.openxmlformats.org/officeDocument/2006/relationships/hyperlink" Target="https://www.espace-droit-prevention.com/fiches-pratiques/regles-communes/temps-de-travail-dans-la-fonction-publique-hospitaliere" TargetMode="External"/><Relationship Id="rId9" Type="http://schemas.openxmlformats.org/officeDocument/2006/relationships/hyperlink" Target="https://www.i-manuel.fr/PCMUC_MGUC/PCMUC_MGUC_part1dos1AC2fr1.html" TargetMode="External"/><Relationship Id="rId14" Type="http://schemas.openxmlformats.org/officeDocument/2006/relationships/hyperlink" Target="https://wikimemoires.net/2011/04/besoins-en-grh-evaluation-et-fonctionnement-gr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8F814-FF4D-46DC-9961-B30CB324DF25}">
  <sheetPr codeName="Feuil3"/>
  <dimension ref="A1:AR125"/>
  <sheetViews>
    <sheetView tabSelected="1" zoomScale="75" zoomScaleNormal="75" workbookViewId="0">
      <selection activeCell="Q19" sqref="Q19"/>
    </sheetView>
  </sheetViews>
  <sheetFormatPr baseColWidth="10" defaultRowHeight="12.75" x14ac:dyDescent="0.2"/>
  <cols>
    <col min="1" max="2" width="11" style="98"/>
    <col min="3" max="3" width="14" style="98" customWidth="1"/>
    <col min="4" max="18" width="11" style="98"/>
    <col min="19" max="19" width="14" style="98" customWidth="1"/>
    <col min="20" max="20" width="10.625" style="98" customWidth="1"/>
    <col min="21" max="21" width="13.375" style="98" customWidth="1"/>
    <col min="22" max="22" width="11" style="98"/>
    <col min="23" max="23" width="12.375" style="98" customWidth="1"/>
    <col min="24" max="24" width="10.625" style="98" bestFit="1" customWidth="1"/>
    <col min="25" max="16384" width="11" style="98"/>
  </cols>
  <sheetData>
    <row r="1" spans="1:29" ht="30" customHeight="1" x14ac:dyDescent="0.25">
      <c r="A1" s="95"/>
      <c r="B1" s="95"/>
      <c r="C1" s="95"/>
      <c r="D1" s="95"/>
      <c r="E1" s="95"/>
      <c r="F1" s="95"/>
      <c r="G1" s="95"/>
      <c r="H1" s="95"/>
      <c r="I1" s="95"/>
      <c r="J1" s="95"/>
      <c r="K1" s="95"/>
      <c r="L1" s="96"/>
      <c r="M1" s="96"/>
      <c r="N1" s="96"/>
      <c r="O1" s="96"/>
      <c r="P1" s="96"/>
      <c r="Q1" s="97"/>
      <c r="R1" s="97"/>
      <c r="S1" s="97"/>
      <c r="T1" s="97"/>
      <c r="U1" s="97"/>
      <c r="V1" s="97"/>
      <c r="W1" s="97"/>
      <c r="X1" s="97"/>
      <c r="Y1" s="97"/>
      <c r="Z1" s="97"/>
      <c r="AA1" s="97"/>
      <c r="AB1" s="97"/>
      <c r="AC1" s="97"/>
    </row>
    <row r="2" spans="1:29" ht="30" customHeight="1" x14ac:dyDescent="0.25">
      <c r="A2" s="95"/>
      <c r="B2" s="99" t="s">
        <v>151</v>
      </c>
      <c r="C2" s="95"/>
      <c r="D2" s="95"/>
      <c r="E2" s="95"/>
      <c r="F2" s="95"/>
      <c r="G2" s="95"/>
      <c r="H2" s="95"/>
      <c r="I2" s="96"/>
      <c r="J2" s="95"/>
      <c r="K2" s="95"/>
      <c r="L2" s="96"/>
      <c r="M2" s="96"/>
      <c r="N2" s="96"/>
      <c r="O2" s="96"/>
      <c r="P2" s="96"/>
      <c r="Q2" s="97"/>
      <c r="R2" s="97"/>
      <c r="S2" s="97"/>
      <c r="T2" s="100" t="s">
        <v>488</v>
      </c>
      <c r="U2" s="97"/>
      <c r="V2" s="97"/>
      <c r="W2" s="97"/>
      <c r="X2" s="97"/>
      <c r="Y2" s="97"/>
      <c r="Z2" s="97"/>
      <c r="AA2" s="97"/>
      <c r="AB2" s="97"/>
      <c r="AC2" s="97"/>
    </row>
    <row r="3" spans="1:29" ht="30" customHeight="1" x14ac:dyDescent="0.25">
      <c r="A3" s="95"/>
      <c r="B3" s="101" t="s">
        <v>152</v>
      </c>
      <c r="C3" s="102"/>
      <c r="D3" s="95"/>
      <c r="E3" s="95"/>
      <c r="F3" s="95"/>
      <c r="G3" s="95"/>
      <c r="H3" s="95"/>
      <c r="I3" s="96"/>
      <c r="J3" s="95"/>
      <c r="K3" s="95"/>
      <c r="L3" s="96"/>
      <c r="M3" s="96"/>
      <c r="N3" s="96"/>
      <c r="O3" s="96"/>
      <c r="P3" s="96"/>
      <c r="Q3" s="97"/>
      <c r="R3" s="97"/>
      <c r="S3" s="97"/>
      <c r="T3" s="1758" t="s">
        <v>1072</v>
      </c>
      <c r="U3" s="97"/>
      <c r="V3" s="97"/>
      <c r="W3" s="97"/>
      <c r="X3" s="97"/>
      <c r="Y3" s="97"/>
      <c r="Z3" s="97"/>
      <c r="AA3" s="97"/>
      <c r="AB3" s="97"/>
      <c r="AC3" s="97"/>
    </row>
    <row r="4" spans="1:29" ht="30" customHeight="1" x14ac:dyDescent="0.25">
      <c r="A4" s="95"/>
      <c r="B4" s="101" t="s">
        <v>153</v>
      </c>
      <c r="C4" s="102"/>
      <c r="D4" s="95"/>
      <c r="E4" s="95"/>
      <c r="F4" s="95"/>
      <c r="G4" s="95"/>
      <c r="H4" s="95"/>
      <c r="I4" s="96"/>
      <c r="J4" s="95"/>
      <c r="K4" s="95"/>
      <c r="L4" s="96"/>
      <c r="M4" s="96"/>
      <c r="N4" s="96"/>
      <c r="O4" s="96"/>
      <c r="P4" s="96"/>
      <c r="Q4" s="97"/>
      <c r="R4" s="97"/>
      <c r="S4" s="97"/>
      <c r="T4" s="100" t="s">
        <v>156</v>
      </c>
      <c r="U4" s="97"/>
      <c r="V4" s="97"/>
      <c r="W4" s="97"/>
      <c r="X4" s="97"/>
      <c r="Y4" s="97"/>
      <c r="Z4" s="97"/>
      <c r="AA4" s="97"/>
      <c r="AB4" s="97"/>
      <c r="AC4" s="97"/>
    </row>
    <row r="5" spans="1:29" ht="30" customHeight="1" x14ac:dyDescent="0.25">
      <c r="A5" s="95"/>
      <c r="B5" s="101" t="s">
        <v>154</v>
      </c>
      <c r="C5" s="102"/>
      <c r="D5" s="95"/>
      <c r="E5" s="95"/>
      <c r="F5" s="95"/>
      <c r="G5" s="95"/>
      <c r="H5" s="95"/>
      <c r="I5" s="96"/>
      <c r="J5" s="95"/>
      <c r="K5" s="95"/>
      <c r="L5" s="96"/>
      <c r="M5" s="96"/>
      <c r="N5" s="96"/>
      <c r="O5" s="96"/>
      <c r="P5" s="96"/>
      <c r="Q5" s="97"/>
      <c r="R5" s="97"/>
      <c r="S5" s="97"/>
      <c r="T5" s="100"/>
      <c r="U5" s="97"/>
      <c r="V5" s="97"/>
      <c r="W5" s="97"/>
      <c r="X5" s="97"/>
      <c r="Y5" s="97"/>
      <c r="Z5" s="97"/>
      <c r="AA5" s="97"/>
      <c r="AB5" s="97"/>
      <c r="AC5" s="97"/>
    </row>
    <row r="6" spans="1:29" ht="30" customHeight="1" x14ac:dyDescent="0.25">
      <c r="A6" s="95"/>
      <c r="B6" s="101" t="s">
        <v>155</v>
      </c>
      <c r="C6" s="95"/>
      <c r="D6" s="95"/>
      <c r="E6" s="95"/>
      <c r="F6" s="95"/>
      <c r="G6" s="95"/>
      <c r="H6" s="95"/>
      <c r="I6" s="96"/>
      <c r="J6" s="95"/>
      <c r="K6" s="95"/>
      <c r="L6" s="96"/>
      <c r="M6" s="96"/>
      <c r="N6" s="96"/>
      <c r="O6" s="96"/>
      <c r="P6" s="96"/>
      <c r="Q6" s="97"/>
      <c r="R6" s="97"/>
      <c r="S6" s="97"/>
      <c r="T6" s="100"/>
      <c r="U6" s="97"/>
      <c r="V6" s="97"/>
      <c r="W6" s="97"/>
      <c r="X6" s="97"/>
      <c r="Y6" s="97"/>
      <c r="Z6" s="97"/>
      <c r="AA6" s="97"/>
      <c r="AB6" s="97"/>
      <c r="AC6" s="97"/>
    </row>
    <row r="7" spans="1:29" ht="30" customHeight="1" x14ac:dyDescent="0.25">
      <c r="A7" s="95"/>
      <c r="B7" s="101"/>
      <c r="C7" s="95"/>
      <c r="D7" s="95"/>
      <c r="E7" s="95"/>
      <c r="F7" s="95"/>
      <c r="G7" s="95"/>
      <c r="H7" s="95"/>
      <c r="I7" s="96"/>
      <c r="J7" s="95"/>
      <c r="K7" s="95"/>
      <c r="L7" s="96"/>
      <c r="M7" s="96"/>
      <c r="N7" s="96"/>
      <c r="O7" s="96"/>
      <c r="P7" s="96"/>
      <c r="Q7" s="97"/>
      <c r="R7" s="97"/>
      <c r="S7" s="97"/>
      <c r="T7" s="97"/>
      <c r="U7" s="97"/>
      <c r="V7" s="97"/>
      <c r="W7" s="97"/>
      <c r="X7" s="97"/>
      <c r="Y7" s="97"/>
      <c r="Z7" s="97"/>
      <c r="AA7" s="97"/>
      <c r="AB7" s="97"/>
      <c r="AC7" s="97"/>
    </row>
    <row r="8" spans="1:29" ht="30" customHeight="1" x14ac:dyDescent="0.2">
      <c r="A8" s="95"/>
      <c r="B8" s="104" t="s">
        <v>157</v>
      </c>
      <c r="C8" s="104"/>
      <c r="D8" s="104"/>
      <c r="E8" s="104"/>
      <c r="F8" s="104"/>
      <c r="G8" s="104"/>
      <c r="H8" s="104"/>
      <c r="I8" s="104"/>
      <c r="J8" s="104"/>
      <c r="K8" s="104"/>
      <c r="L8" s="104"/>
      <c r="M8" s="104"/>
      <c r="N8" s="104"/>
      <c r="O8" s="104"/>
      <c r="P8" s="104"/>
      <c r="Q8" s="104"/>
      <c r="R8" s="97"/>
      <c r="S8" s="97"/>
      <c r="T8" s="97"/>
      <c r="U8" s="97"/>
      <c r="V8" s="97"/>
      <c r="W8" s="97"/>
      <c r="X8" s="97"/>
      <c r="Y8" s="97"/>
      <c r="Z8" s="97"/>
      <c r="AA8" s="97"/>
      <c r="AB8" s="97"/>
      <c r="AC8" s="97"/>
    </row>
    <row r="9" spans="1:29" ht="30" customHeight="1" x14ac:dyDescent="0.2">
      <c r="A9" s="95"/>
      <c r="B9" s="104"/>
      <c r="C9" s="104" t="s">
        <v>961</v>
      </c>
      <c r="D9" s="104"/>
      <c r="E9" s="104"/>
      <c r="F9" s="104"/>
      <c r="G9" s="104"/>
      <c r="H9" s="104"/>
      <c r="I9" s="104"/>
      <c r="J9" s="104"/>
      <c r="K9" s="104"/>
      <c r="L9" s="104"/>
      <c r="M9" s="104"/>
      <c r="N9" s="104"/>
      <c r="O9" s="104"/>
      <c r="P9" s="1180" t="s">
        <v>969</v>
      </c>
      <c r="Q9" s="104"/>
      <c r="R9" s="97"/>
      <c r="S9" s="97"/>
      <c r="T9" s="97"/>
      <c r="U9" s="97"/>
      <c r="V9" s="97"/>
      <c r="W9" s="97"/>
      <c r="X9" s="97"/>
      <c r="Y9" s="97"/>
      <c r="Z9" s="97"/>
      <c r="AA9" s="97"/>
      <c r="AB9" s="97"/>
      <c r="AC9" s="97"/>
    </row>
    <row r="10" spans="1:29" ht="30" customHeight="1" x14ac:dyDescent="0.2">
      <c r="A10" s="95"/>
      <c r="B10" s="104"/>
      <c r="C10" s="104" t="s">
        <v>963</v>
      </c>
      <c r="D10" s="104"/>
      <c r="E10" s="104"/>
      <c r="F10" s="104"/>
      <c r="G10" s="104"/>
      <c r="H10" s="104"/>
      <c r="I10" s="104"/>
      <c r="J10" s="104"/>
      <c r="K10" s="104"/>
      <c r="L10" s="104"/>
      <c r="M10" s="104"/>
      <c r="N10" s="104"/>
      <c r="O10" s="104"/>
      <c r="P10" s="104"/>
      <c r="Q10" s="104"/>
      <c r="R10" s="97"/>
      <c r="S10" s="97"/>
      <c r="T10" s="97"/>
      <c r="U10" s="97"/>
      <c r="V10" s="97"/>
      <c r="W10" s="97"/>
      <c r="X10" s="97"/>
      <c r="Y10" s="97"/>
      <c r="Z10" s="97"/>
      <c r="AA10" s="97"/>
      <c r="AB10" s="97"/>
      <c r="AC10" s="97"/>
    </row>
    <row r="11" spans="1:29" ht="30" customHeight="1" x14ac:dyDescent="0.2">
      <c r="A11" s="95"/>
      <c r="B11" s="104"/>
      <c r="C11" s="104"/>
      <c r="D11" s="1179" t="s">
        <v>962</v>
      </c>
      <c r="E11" s="104"/>
      <c r="F11" s="104"/>
      <c r="G11" s="104"/>
      <c r="H11" s="104"/>
      <c r="I11" s="104"/>
      <c r="J11" s="104"/>
      <c r="K11" s="104"/>
      <c r="L11" s="104"/>
      <c r="M11" s="104"/>
      <c r="N11" s="104"/>
      <c r="O11" s="104"/>
      <c r="P11" s="104"/>
      <c r="Q11" s="104"/>
      <c r="R11" s="97"/>
      <c r="S11" s="97"/>
      <c r="T11" s="97"/>
      <c r="U11" s="97"/>
      <c r="V11" s="97"/>
      <c r="W11" s="97"/>
      <c r="X11" s="97"/>
      <c r="Y11" s="97"/>
      <c r="Z11" s="97"/>
      <c r="AA11" s="97"/>
      <c r="AB11" s="97"/>
      <c r="AC11" s="97"/>
    </row>
    <row r="12" spans="1:29" ht="30" customHeight="1" x14ac:dyDescent="0.2">
      <c r="A12" s="95"/>
      <c r="B12" s="104"/>
      <c r="C12" s="104"/>
      <c r="D12" s="1179" t="s">
        <v>845</v>
      </c>
      <c r="E12" s="104"/>
      <c r="F12" s="104"/>
      <c r="G12" s="104"/>
      <c r="H12" s="104"/>
      <c r="I12" s="104"/>
      <c r="J12" s="104"/>
      <c r="K12" s="104"/>
      <c r="L12" s="104"/>
      <c r="M12" s="104"/>
      <c r="N12" s="104"/>
      <c r="O12" s="104"/>
      <c r="P12" s="104"/>
      <c r="Q12" s="104"/>
      <c r="R12" s="97"/>
      <c r="S12" s="97"/>
      <c r="T12" s="97"/>
      <c r="U12" s="97"/>
      <c r="V12" s="97"/>
      <c r="W12" s="97"/>
      <c r="X12" s="97"/>
      <c r="Y12" s="97"/>
      <c r="Z12" s="97"/>
      <c r="AA12" s="97"/>
      <c r="AB12" s="97"/>
      <c r="AC12" s="97"/>
    </row>
    <row r="13" spans="1:29" ht="30" customHeight="1" x14ac:dyDescent="0.2">
      <c r="A13" s="95"/>
      <c r="B13" s="104"/>
      <c r="C13" s="104" t="s">
        <v>964</v>
      </c>
      <c r="D13" s="104"/>
      <c r="E13" s="104"/>
      <c r="F13" s="104"/>
      <c r="G13" s="104"/>
      <c r="H13" s="104"/>
      <c r="I13" s="104"/>
      <c r="J13" s="104"/>
      <c r="K13" s="104"/>
      <c r="L13" s="104"/>
      <c r="M13" s="104"/>
      <c r="N13" s="104"/>
      <c r="O13" s="104"/>
      <c r="P13" s="104"/>
      <c r="Q13" s="104"/>
      <c r="R13" s="97"/>
      <c r="S13" s="97"/>
      <c r="T13" s="97"/>
      <c r="U13" s="97"/>
      <c r="V13" s="97"/>
      <c r="W13" s="97"/>
      <c r="X13" s="97"/>
      <c r="Y13" s="97"/>
      <c r="Z13" s="97"/>
      <c r="AA13" s="97"/>
      <c r="AB13" s="97"/>
      <c r="AC13" s="97"/>
    </row>
    <row r="14" spans="1:29" ht="30" customHeight="1" x14ac:dyDescent="0.2">
      <c r="A14" s="95"/>
      <c r="B14" s="104"/>
      <c r="C14" s="104"/>
      <c r="D14" s="1179" t="s">
        <v>965</v>
      </c>
      <c r="E14" s="104"/>
      <c r="F14" s="104"/>
      <c r="G14" s="104"/>
      <c r="H14" s="104"/>
      <c r="I14" s="104"/>
      <c r="J14" s="104"/>
      <c r="K14" s="104"/>
      <c r="L14" s="104"/>
      <c r="M14" s="104"/>
      <c r="N14" s="104"/>
      <c r="O14" s="104"/>
      <c r="P14" s="104"/>
      <c r="Q14" s="104"/>
      <c r="R14" s="97"/>
      <c r="S14" s="97"/>
      <c r="T14" s="97"/>
      <c r="U14" s="97"/>
      <c r="V14" s="97"/>
      <c r="W14" s="97"/>
      <c r="X14" s="97"/>
      <c r="Y14" s="97"/>
      <c r="Z14" s="97"/>
      <c r="AA14" s="97"/>
      <c r="AB14" s="97"/>
      <c r="AC14" s="97"/>
    </row>
    <row r="15" spans="1:29" ht="30" customHeight="1" x14ac:dyDescent="0.2">
      <c r="A15" s="95"/>
      <c r="B15" s="104"/>
      <c r="C15" s="104" t="s">
        <v>966</v>
      </c>
      <c r="D15" s="104"/>
      <c r="E15" s="104"/>
      <c r="F15" s="104"/>
      <c r="G15" s="104"/>
      <c r="H15" s="104"/>
      <c r="I15" s="104"/>
      <c r="J15" s="104"/>
      <c r="K15" s="104"/>
      <c r="L15" s="104"/>
      <c r="M15" s="104"/>
      <c r="N15" s="104"/>
      <c r="O15" s="104"/>
      <c r="P15" s="104"/>
      <c r="Q15" s="104"/>
      <c r="R15" s="97"/>
      <c r="S15" s="97"/>
      <c r="T15" s="97"/>
      <c r="U15" s="97"/>
      <c r="V15" s="97"/>
      <c r="W15" s="97"/>
      <c r="X15" s="97"/>
      <c r="Y15" s="97"/>
      <c r="Z15" s="97"/>
      <c r="AA15" s="97"/>
      <c r="AB15" s="97"/>
      <c r="AC15" s="97"/>
    </row>
    <row r="16" spans="1:29" ht="30" customHeight="1" x14ac:dyDescent="0.2">
      <c r="A16" s="95"/>
      <c r="B16" s="104"/>
      <c r="C16" s="104"/>
      <c r="D16" s="1179" t="s">
        <v>1062</v>
      </c>
      <c r="E16" s="104"/>
      <c r="F16" s="104"/>
      <c r="G16" s="104"/>
      <c r="H16" s="104"/>
      <c r="I16" s="104"/>
      <c r="J16" s="104"/>
      <c r="K16" s="104"/>
      <c r="L16" s="104"/>
      <c r="M16" s="104"/>
      <c r="N16" s="104"/>
      <c r="O16" s="104"/>
      <c r="P16" s="104"/>
      <c r="Q16" s="104"/>
      <c r="R16" s="97"/>
      <c r="S16" s="97"/>
      <c r="T16" s="97"/>
      <c r="U16" s="97"/>
      <c r="V16" s="97"/>
      <c r="W16" s="97"/>
      <c r="X16" s="97"/>
      <c r="Y16" s="97"/>
      <c r="Z16" s="97"/>
      <c r="AA16" s="97"/>
      <c r="AB16" s="97"/>
      <c r="AC16" s="97"/>
    </row>
    <row r="17" spans="1:29" ht="30" customHeight="1" x14ac:dyDescent="0.2">
      <c r="A17" s="95"/>
      <c r="B17" s="104"/>
      <c r="C17" s="104"/>
      <c r="D17" s="1179" t="s">
        <v>1065</v>
      </c>
      <c r="E17" s="104"/>
      <c r="F17" s="104"/>
      <c r="G17" s="104"/>
      <c r="H17" s="104"/>
      <c r="I17" s="104"/>
      <c r="J17" s="104"/>
      <c r="K17" s="104"/>
      <c r="L17" s="104"/>
      <c r="M17" s="104"/>
      <c r="N17" s="104"/>
      <c r="O17" s="104"/>
      <c r="P17" s="104"/>
      <c r="Q17" s="104"/>
      <c r="R17" s="97"/>
      <c r="S17" s="97"/>
      <c r="T17" s="97"/>
      <c r="U17" s="97"/>
      <c r="V17" s="97"/>
      <c r="W17" s="97"/>
      <c r="X17" s="97"/>
      <c r="Y17" s="97"/>
      <c r="Z17" s="97"/>
      <c r="AA17" s="97"/>
      <c r="AB17" s="97"/>
      <c r="AC17" s="97"/>
    </row>
    <row r="18" spans="1:29" ht="30" customHeight="1" x14ac:dyDescent="0.2">
      <c r="A18" s="95"/>
      <c r="B18" s="104"/>
      <c r="C18" s="104"/>
      <c r="D18" s="1179" t="s">
        <v>843</v>
      </c>
      <c r="E18" s="104"/>
      <c r="F18" s="104"/>
      <c r="G18" s="104"/>
      <c r="H18" s="104"/>
      <c r="I18" s="104"/>
      <c r="J18" s="104"/>
      <c r="K18" s="104"/>
      <c r="L18" s="104"/>
      <c r="M18" s="104"/>
      <c r="N18" s="104"/>
      <c r="O18" s="104"/>
      <c r="P18" s="104"/>
      <c r="Q18" s="104"/>
      <c r="R18" s="97"/>
      <c r="S18" s="97"/>
      <c r="T18" s="97"/>
      <c r="U18" s="97"/>
      <c r="V18" s="97"/>
      <c r="W18" s="97"/>
      <c r="X18" s="97"/>
      <c r="Y18" s="97"/>
      <c r="Z18" s="97"/>
      <c r="AA18" s="97"/>
      <c r="AB18" s="97"/>
      <c r="AC18" s="97"/>
    </row>
    <row r="19" spans="1:29" ht="30" customHeight="1" x14ac:dyDescent="0.2">
      <c r="A19" s="95"/>
      <c r="B19" s="104"/>
      <c r="C19" s="104" t="s">
        <v>967</v>
      </c>
      <c r="D19" s="104"/>
      <c r="E19" s="104"/>
      <c r="F19" s="104"/>
      <c r="G19" s="104"/>
      <c r="H19" s="104"/>
      <c r="I19" s="104"/>
      <c r="J19" s="104"/>
      <c r="K19" s="104"/>
      <c r="L19" s="104"/>
      <c r="M19" s="104"/>
      <c r="N19" s="104"/>
      <c r="O19" s="104"/>
      <c r="P19" s="104"/>
      <c r="Q19" s="104"/>
      <c r="R19" s="97"/>
      <c r="S19" s="97"/>
      <c r="T19" s="97"/>
      <c r="U19" s="97"/>
      <c r="V19" s="97"/>
      <c r="W19" s="97"/>
      <c r="X19" s="97"/>
      <c r="Y19" s="97"/>
      <c r="Z19" s="97"/>
      <c r="AA19" s="97"/>
      <c r="AB19" s="97"/>
      <c r="AC19" s="97"/>
    </row>
    <row r="20" spans="1:29" ht="30" customHeight="1" x14ac:dyDescent="0.2">
      <c r="A20" s="95"/>
      <c r="B20" s="104"/>
      <c r="C20" s="104"/>
      <c r="D20" s="1179" t="s">
        <v>1063</v>
      </c>
      <c r="E20" s="104"/>
      <c r="F20" s="104"/>
      <c r="G20" s="104"/>
      <c r="H20" s="104"/>
      <c r="I20" s="104"/>
      <c r="J20" s="104"/>
      <c r="K20" s="104"/>
      <c r="L20" s="104"/>
      <c r="M20" s="104"/>
      <c r="N20" s="104"/>
      <c r="O20" s="104"/>
      <c r="P20" s="104"/>
      <c r="Q20" s="104"/>
      <c r="R20" s="97"/>
      <c r="S20" s="97"/>
      <c r="T20" s="97"/>
      <c r="U20" s="97"/>
      <c r="V20" s="97"/>
      <c r="W20" s="97"/>
      <c r="X20" s="97"/>
      <c r="Y20" s="97"/>
      <c r="Z20" s="97"/>
      <c r="AA20" s="97"/>
      <c r="AB20" s="97"/>
      <c r="AC20" s="97"/>
    </row>
    <row r="21" spans="1:29" ht="30" customHeight="1" x14ac:dyDescent="0.2">
      <c r="A21" s="95"/>
      <c r="B21" s="104"/>
      <c r="C21" s="104"/>
      <c r="D21" s="1179" t="s">
        <v>1065</v>
      </c>
      <c r="E21" s="104"/>
      <c r="F21" s="104"/>
      <c r="G21" s="104"/>
      <c r="H21" s="104"/>
      <c r="I21" s="104"/>
      <c r="J21" s="104"/>
      <c r="K21" s="104"/>
      <c r="L21" s="104"/>
      <c r="M21" s="104"/>
      <c r="N21" s="104"/>
      <c r="O21" s="104"/>
      <c r="P21" s="104"/>
      <c r="Q21" s="104"/>
      <c r="R21" s="97"/>
      <c r="S21" s="97"/>
      <c r="T21" s="97"/>
      <c r="U21" s="97"/>
      <c r="V21" s="97"/>
      <c r="W21" s="97"/>
      <c r="X21" s="97"/>
      <c r="Y21" s="97"/>
      <c r="Z21" s="97"/>
      <c r="AA21" s="97"/>
      <c r="AB21" s="97"/>
      <c r="AC21" s="97"/>
    </row>
    <row r="22" spans="1:29" ht="30" customHeight="1" x14ac:dyDescent="0.2">
      <c r="A22" s="95"/>
      <c r="B22" s="104"/>
      <c r="C22" s="104"/>
      <c r="D22" s="1179" t="s">
        <v>970</v>
      </c>
      <c r="E22" s="104"/>
      <c r="F22" s="104"/>
      <c r="G22" s="104"/>
      <c r="H22" s="104"/>
      <c r="I22" s="104"/>
      <c r="J22" s="104"/>
      <c r="K22" s="104"/>
      <c r="L22" s="104"/>
      <c r="M22" s="104"/>
      <c r="N22" s="104"/>
      <c r="O22" s="104"/>
      <c r="P22" s="104"/>
      <c r="Q22" s="104"/>
      <c r="R22" s="97"/>
      <c r="S22" s="97"/>
      <c r="T22" s="97"/>
      <c r="U22" s="97"/>
      <c r="V22" s="97"/>
      <c r="W22" s="97"/>
      <c r="X22" s="97"/>
      <c r="Y22" s="97"/>
      <c r="Z22" s="97"/>
      <c r="AA22" s="97"/>
      <c r="AB22" s="97"/>
      <c r="AC22" s="97"/>
    </row>
    <row r="23" spans="1:29" ht="30" customHeight="1" x14ac:dyDescent="0.2">
      <c r="A23" s="95"/>
      <c r="B23" s="104"/>
      <c r="C23" s="104"/>
      <c r="D23" s="1179" t="s">
        <v>968</v>
      </c>
      <c r="E23" s="104"/>
      <c r="F23" s="104"/>
      <c r="G23" s="104"/>
      <c r="H23" s="104"/>
      <c r="I23" s="104"/>
      <c r="J23" s="104"/>
      <c r="K23" s="104"/>
      <c r="L23" s="104"/>
      <c r="M23" s="104"/>
      <c r="N23" s="104"/>
      <c r="O23" s="104"/>
      <c r="P23" s="104"/>
      <c r="Q23" s="104"/>
      <c r="R23" s="97"/>
      <c r="S23" s="97"/>
      <c r="T23" s="97"/>
      <c r="U23" s="97"/>
      <c r="V23" s="97"/>
      <c r="W23" s="97"/>
      <c r="X23" s="97"/>
      <c r="Y23" s="97"/>
      <c r="Z23" s="97"/>
      <c r="AA23" s="97"/>
      <c r="AB23" s="97"/>
      <c r="AC23" s="97"/>
    </row>
    <row r="24" spans="1:29" ht="30" customHeight="1" x14ac:dyDescent="0.2">
      <c r="A24" s="95"/>
      <c r="B24" s="104"/>
      <c r="C24" s="104" t="s">
        <v>971</v>
      </c>
      <c r="D24" s="104"/>
      <c r="E24" s="104"/>
      <c r="F24" s="104"/>
      <c r="G24" s="104"/>
      <c r="H24" s="104"/>
      <c r="I24" s="104"/>
      <c r="J24" s="104"/>
      <c r="K24" s="104"/>
      <c r="L24" s="104"/>
      <c r="M24" s="104"/>
      <c r="N24" s="104"/>
      <c r="O24" s="104"/>
      <c r="P24" s="104"/>
      <c r="Q24" s="104"/>
      <c r="R24" s="97"/>
      <c r="S24" s="97"/>
      <c r="T24" s="97"/>
      <c r="U24" s="97"/>
      <c r="V24" s="97"/>
      <c r="W24" s="97"/>
      <c r="X24" s="97"/>
      <c r="Y24" s="97"/>
      <c r="Z24" s="97"/>
      <c r="AA24" s="97"/>
      <c r="AB24" s="97"/>
      <c r="AC24" s="97"/>
    </row>
    <row r="25" spans="1:29" ht="30" customHeight="1" x14ac:dyDescent="0.2">
      <c r="A25" s="95"/>
      <c r="B25" s="104"/>
      <c r="C25" s="104"/>
      <c r="D25" s="1179" t="s">
        <v>1064</v>
      </c>
      <c r="E25" s="104"/>
      <c r="F25" s="104"/>
      <c r="G25" s="104"/>
      <c r="H25" s="104"/>
      <c r="I25" s="104"/>
      <c r="J25" s="104"/>
      <c r="K25" s="104"/>
      <c r="L25" s="104"/>
      <c r="M25" s="104"/>
      <c r="N25" s="104"/>
      <c r="O25" s="104"/>
      <c r="P25" s="104"/>
      <c r="Q25" s="104"/>
      <c r="R25" s="97"/>
      <c r="S25" s="97"/>
      <c r="T25" s="97"/>
      <c r="U25" s="97"/>
      <c r="V25" s="97"/>
      <c r="W25" s="97"/>
      <c r="X25" s="97"/>
      <c r="Y25" s="97"/>
      <c r="Z25" s="97"/>
      <c r="AA25" s="97"/>
      <c r="AB25" s="97"/>
      <c r="AC25" s="97"/>
    </row>
    <row r="26" spans="1:29" ht="30" customHeight="1" x14ac:dyDescent="0.2">
      <c r="A26" s="95"/>
      <c r="B26" s="104"/>
      <c r="C26" s="104"/>
      <c r="D26" s="1179" t="s">
        <v>1065</v>
      </c>
      <c r="E26" s="104"/>
      <c r="F26" s="104"/>
      <c r="G26" s="104"/>
      <c r="H26" s="104"/>
      <c r="I26" s="104"/>
      <c r="J26" s="104"/>
      <c r="K26" s="104"/>
      <c r="L26" s="104"/>
      <c r="M26" s="104"/>
      <c r="N26" s="104"/>
      <c r="O26" s="104"/>
      <c r="P26" s="104"/>
      <c r="Q26" s="104"/>
      <c r="R26" s="97"/>
      <c r="S26" s="97"/>
      <c r="T26" s="97"/>
      <c r="U26" s="97"/>
      <c r="V26" s="97"/>
      <c r="W26" s="97"/>
      <c r="X26" s="97"/>
      <c r="Y26" s="97"/>
      <c r="Z26" s="97"/>
      <c r="AA26" s="97"/>
      <c r="AB26" s="97"/>
      <c r="AC26" s="97"/>
    </row>
    <row r="27" spans="1:29" ht="30" customHeight="1" x14ac:dyDescent="0.2">
      <c r="A27" s="95"/>
      <c r="B27" s="104"/>
      <c r="C27" s="104"/>
      <c r="D27" s="1179" t="s">
        <v>843</v>
      </c>
      <c r="E27" s="104"/>
      <c r="F27" s="104"/>
      <c r="G27" s="104"/>
      <c r="H27" s="104"/>
      <c r="I27" s="104"/>
      <c r="J27" s="104"/>
      <c r="K27" s="104"/>
      <c r="L27" s="104"/>
      <c r="M27" s="104"/>
      <c r="N27" s="104"/>
      <c r="O27" s="104"/>
      <c r="P27" s="104"/>
      <c r="Q27" s="104"/>
      <c r="R27" s="97"/>
      <c r="S27" s="97"/>
      <c r="T27" s="97"/>
      <c r="U27" s="97"/>
      <c r="V27" s="97"/>
      <c r="W27" s="97"/>
      <c r="X27" s="97"/>
      <c r="Y27" s="97"/>
      <c r="Z27" s="97"/>
      <c r="AA27" s="97"/>
      <c r="AB27" s="97"/>
      <c r="AC27" s="97"/>
    </row>
    <row r="28" spans="1:29" ht="30" customHeight="1" x14ac:dyDescent="0.2">
      <c r="A28" s="95"/>
      <c r="B28" s="104"/>
      <c r="C28" s="104" t="s">
        <v>972</v>
      </c>
      <c r="D28" s="1179"/>
      <c r="E28" s="104"/>
      <c r="F28" s="104"/>
      <c r="G28" s="104"/>
      <c r="H28" s="104"/>
      <c r="I28" s="104"/>
      <c r="J28" s="104"/>
      <c r="K28" s="104"/>
      <c r="L28" s="104"/>
      <c r="M28" s="104"/>
      <c r="N28" s="104"/>
      <c r="O28" s="104"/>
      <c r="P28" s="104"/>
      <c r="Q28" s="104"/>
      <c r="R28" s="97"/>
      <c r="S28" s="97"/>
      <c r="T28" s="97"/>
      <c r="U28" s="97"/>
      <c r="V28" s="97"/>
      <c r="W28" s="97"/>
      <c r="X28" s="97"/>
      <c r="Y28" s="97"/>
      <c r="Z28" s="97"/>
      <c r="AA28" s="97"/>
      <c r="AB28" s="97"/>
      <c r="AC28" s="97"/>
    </row>
    <row r="29" spans="1:29" ht="30" customHeight="1" x14ac:dyDescent="0.2">
      <c r="A29" s="95"/>
      <c r="B29" s="104"/>
      <c r="C29" s="104"/>
      <c r="D29" s="1179" t="s">
        <v>1066</v>
      </c>
      <c r="E29" s="104"/>
      <c r="F29" s="104"/>
      <c r="G29" s="104"/>
      <c r="H29" s="104"/>
      <c r="I29" s="104"/>
      <c r="J29" s="104"/>
      <c r="K29" s="104"/>
      <c r="L29" s="104"/>
      <c r="M29" s="104"/>
      <c r="N29" s="104"/>
      <c r="O29" s="104"/>
      <c r="P29" s="104"/>
      <c r="Q29" s="104"/>
      <c r="R29" s="97"/>
      <c r="S29" s="97"/>
      <c r="T29" s="97"/>
      <c r="U29" s="97"/>
      <c r="V29" s="97"/>
      <c r="W29" s="97"/>
      <c r="X29" s="97"/>
      <c r="Y29" s="97"/>
      <c r="Z29" s="97"/>
      <c r="AA29" s="97"/>
      <c r="AB29" s="97"/>
      <c r="AC29" s="97"/>
    </row>
    <row r="30" spans="1:29" ht="30" customHeight="1" x14ac:dyDescent="0.2">
      <c r="A30" s="95"/>
      <c r="B30" s="104"/>
      <c r="C30" s="104"/>
      <c r="D30" s="1179" t="s">
        <v>1065</v>
      </c>
      <c r="E30" s="104"/>
      <c r="F30" s="104"/>
      <c r="G30" s="104"/>
      <c r="H30" s="104"/>
      <c r="I30" s="104"/>
      <c r="J30" s="104"/>
      <c r="K30" s="104"/>
      <c r="L30" s="104"/>
      <c r="M30" s="104"/>
      <c r="N30" s="104"/>
      <c r="O30" s="104"/>
      <c r="P30" s="104"/>
      <c r="Q30" s="104"/>
      <c r="R30" s="97"/>
      <c r="S30" s="97"/>
      <c r="T30" s="97"/>
      <c r="U30" s="97"/>
      <c r="V30" s="97"/>
      <c r="W30" s="97"/>
      <c r="X30" s="97"/>
      <c r="Y30" s="97"/>
      <c r="Z30" s="97"/>
      <c r="AA30" s="97"/>
      <c r="AB30" s="97"/>
      <c r="AC30" s="97"/>
    </row>
    <row r="31" spans="1:29" ht="30" customHeight="1" x14ac:dyDescent="0.2">
      <c r="A31" s="95"/>
      <c r="B31" s="104"/>
      <c r="C31" s="104"/>
      <c r="D31" s="1179" t="s">
        <v>973</v>
      </c>
      <c r="E31" s="104"/>
      <c r="F31" s="104"/>
      <c r="G31" s="104"/>
      <c r="H31" s="104"/>
      <c r="I31" s="104"/>
      <c r="J31" s="104"/>
      <c r="K31" s="104"/>
      <c r="L31" s="104"/>
      <c r="M31" s="104"/>
      <c r="N31" s="104"/>
      <c r="O31" s="104"/>
      <c r="P31" s="104"/>
      <c r="Q31" s="104"/>
      <c r="R31" s="97"/>
      <c r="S31" s="97"/>
      <c r="T31" s="97"/>
      <c r="U31" s="97"/>
      <c r="V31" s="97"/>
      <c r="W31" s="97"/>
      <c r="X31" s="97"/>
      <c r="Y31" s="97"/>
      <c r="Z31" s="97"/>
      <c r="AA31" s="97"/>
      <c r="AB31" s="97"/>
      <c r="AC31" s="97"/>
    </row>
    <row r="32" spans="1:29" ht="30" customHeight="1" x14ac:dyDescent="0.2">
      <c r="A32" s="95"/>
      <c r="B32" s="104"/>
      <c r="C32" s="104"/>
      <c r="D32" s="1179" t="s">
        <v>845</v>
      </c>
      <c r="E32" s="104"/>
      <c r="F32" s="104"/>
      <c r="G32" s="104"/>
      <c r="H32" s="104"/>
      <c r="I32" s="104"/>
      <c r="J32" s="104"/>
      <c r="K32" s="104"/>
      <c r="L32" s="104"/>
      <c r="M32" s="104"/>
      <c r="N32" s="104"/>
      <c r="O32" s="104"/>
      <c r="P32" s="104"/>
      <c r="Q32" s="104"/>
      <c r="R32" s="97"/>
      <c r="S32" s="97"/>
      <c r="T32" s="97"/>
      <c r="U32" s="97"/>
      <c r="V32" s="97"/>
      <c r="W32" s="97"/>
      <c r="X32" s="97"/>
      <c r="Y32" s="97"/>
      <c r="Z32" s="97"/>
      <c r="AA32" s="97"/>
      <c r="AB32" s="97"/>
      <c r="AC32" s="97"/>
    </row>
    <row r="33" spans="1:29" ht="30" customHeight="1" x14ac:dyDescent="0.2">
      <c r="A33" s="95"/>
      <c r="B33" s="104"/>
      <c r="C33" s="104" t="s">
        <v>974</v>
      </c>
      <c r="D33" s="1179"/>
      <c r="E33" s="104"/>
      <c r="F33" s="104"/>
      <c r="G33" s="104"/>
      <c r="H33" s="104"/>
      <c r="I33" s="104"/>
      <c r="J33" s="104"/>
      <c r="K33" s="104"/>
      <c r="L33" s="104"/>
      <c r="M33" s="104"/>
      <c r="N33" s="104"/>
      <c r="O33" s="104"/>
      <c r="P33" s="104"/>
      <c r="Q33" s="104"/>
      <c r="R33" s="97"/>
      <c r="S33" s="97"/>
      <c r="T33" s="97"/>
      <c r="U33" s="97"/>
      <c r="V33" s="97"/>
      <c r="W33" s="97"/>
      <c r="X33" s="97"/>
      <c r="Y33" s="97"/>
      <c r="Z33" s="97"/>
      <c r="AA33" s="97"/>
      <c r="AB33" s="97"/>
      <c r="AC33" s="97"/>
    </row>
    <row r="34" spans="1:29" ht="30" customHeight="1" x14ac:dyDescent="0.2">
      <c r="A34" s="95"/>
      <c r="B34" s="104"/>
      <c r="C34" s="104"/>
      <c r="D34" s="1179" t="s">
        <v>975</v>
      </c>
      <c r="E34" s="104"/>
      <c r="F34" s="104"/>
      <c r="G34" s="104"/>
      <c r="H34" s="104"/>
      <c r="I34" s="104"/>
      <c r="J34" s="104"/>
      <c r="K34" s="104"/>
      <c r="L34" s="104"/>
      <c r="M34" s="104"/>
      <c r="N34" s="104"/>
      <c r="O34" s="104"/>
      <c r="P34" s="104"/>
      <c r="Q34" s="104"/>
      <c r="R34" s="97"/>
      <c r="S34" s="97"/>
      <c r="T34" s="97"/>
      <c r="U34" s="97"/>
      <c r="V34" s="97"/>
      <c r="W34" s="97"/>
      <c r="X34" s="97"/>
      <c r="Y34" s="97"/>
      <c r="Z34" s="97"/>
      <c r="AA34" s="97"/>
      <c r="AB34" s="97"/>
      <c r="AC34" s="97"/>
    </row>
    <row r="35" spans="1:29" ht="30" customHeight="1" x14ac:dyDescent="0.2">
      <c r="A35" s="95"/>
      <c r="B35" s="104"/>
      <c r="C35" s="104"/>
      <c r="D35" s="1179" t="s">
        <v>1067</v>
      </c>
      <c r="E35" s="104"/>
      <c r="F35" s="104"/>
      <c r="G35" s="104"/>
      <c r="H35" s="104"/>
      <c r="I35" s="104"/>
      <c r="J35" s="104"/>
      <c r="K35" s="104"/>
      <c r="L35" s="104"/>
      <c r="M35" s="104"/>
      <c r="N35" s="104"/>
      <c r="O35" s="104"/>
      <c r="P35" s="104"/>
      <c r="Q35" s="104"/>
      <c r="R35" s="97"/>
      <c r="S35" s="97"/>
      <c r="T35" s="97"/>
      <c r="U35" s="97"/>
      <c r="V35" s="97"/>
      <c r="W35" s="97"/>
      <c r="X35" s="97"/>
      <c r="Y35" s="97"/>
      <c r="Z35" s="97"/>
      <c r="AA35" s="97"/>
      <c r="AB35" s="97"/>
      <c r="AC35" s="97"/>
    </row>
    <row r="36" spans="1:29" ht="30" customHeight="1" x14ac:dyDescent="0.2">
      <c r="A36" s="95"/>
      <c r="B36" s="104"/>
      <c r="C36" s="104"/>
      <c r="D36" s="1179" t="s">
        <v>1068</v>
      </c>
      <c r="E36" s="104"/>
      <c r="F36" s="104"/>
      <c r="G36" s="104"/>
      <c r="H36" s="104"/>
      <c r="I36" s="104"/>
      <c r="J36" s="104"/>
      <c r="K36" s="104"/>
      <c r="L36" s="104"/>
      <c r="M36" s="104"/>
      <c r="N36" s="104"/>
      <c r="O36" s="104"/>
      <c r="P36" s="104"/>
      <c r="Q36" s="104"/>
      <c r="R36" s="97"/>
      <c r="S36" s="97"/>
      <c r="T36" s="97"/>
      <c r="U36" s="97"/>
      <c r="V36" s="97"/>
      <c r="W36" s="97"/>
      <c r="X36" s="97"/>
      <c r="Y36" s="97"/>
      <c r="Z36" s="97"/>
      <c r="AA36" s="97"/>
      <c r="AB36" s="97"/>
      <c r="AC36" s="97"/>
    </row>
    <row r="37" spans="1:29" ht="30" customHeight="1" x14ac:dyDescent="0.2">
      <c r="A37" s="95"/>
      <c r="B37" s="104"/>
      <c r="C37" s="104" t="s">
        <v>976</v>
      </c>
      <c r="D37" s="1179"/>
      <c r="E37" s="104"/>
      <c r="F37" s="104"/>
      <c r="G37" s="104"/>
      <c r="H37" s="104"/>
      <c r="I37" s="104"/>
      <c r="J37" s="104"/>
      <c r="K37" s="104"/>
      <c r="L37" s="104"/>
      <c r="M37" s="104"/>
      <c r="N37" s="104"/>
      <c r="O37" s="104"/>
      <c r="P37" s="104"/>
      <c r="Q37" s="104"/>
      <c r="R37" s="97"/>
      <c r="S37" s="97"/>
      <c r="T37" s="97"/>
      <c r="U37" s="97"/>
      <c r="V37" s="97"/>
      <c r="W37" s="97"/>
      <c r="X37" s="97"/>
      <c r="Y37" s="97"/>
      <c r="Z37" s="97"/>
      <c r="AA37" s="97"/>
      <c r="AB37" s="97"/>
      <c r="AC37" s="97"/>
    </row>
    <row r="38" spans="1:29" ht="30" customHeight="1" x14ac:dyDescent="0.2">
      <c r="A38" s="95"/>
      <c r="B38" s="104"/>
      <c r="C38" s="104"/>
      <c r="D38" s="1179" t="s">
        <v>977</v>
      </c>
      <c r="E38" s="104"/>
      <c r="F38" s="104"/>
      <c r="G38" s="104"/>
      <c r="H38" s="104"/>
      <c r="I38" s="104"/>
      <c r="J38" s="104"/>
      <c r="K38" s="104"/>
      <c r="L38" s="104"/>
      <c r="M38" s="104"/>
      <c r="N38" s="104"/>
      <c r="O38" s="104"/>
      <c r="P38" s="104"/>
      <c r="Q38" s="104"/>
      <c r="R38" s="97"/>
      <c r="S38" s="97"/>
      <c r="T38" s="97"/>
      <c r="U38" s="97"/>
      <c r="V38" s="97"/>
      <c r="W38" s="97"/>
      <c r="X38" s="97"/>
      <c r="Y38" s="97"/>
      <c r="Z38" s="97"/>
      <c r="AA38" s="97"/>
      <c r="AB38" s="97"/>
      <c r="AC38" s="97"/>
    </row>
    <row r="39" spans="1:29" ht="30" customHeight="1" x14ac:dyDescent="0.2">
      <c r="A39" s="95"/>
      <c r="B39" s="104"/>
      <c r="C39" s="104"/>
      <c r="D39" s="1179" t="s">
        <v>959</v>
      </c>
      <c r="E39" s="104"/>
      <c r="F39" s="104"/>
      <c r="G39" s="104"/>
      <c r="H39" s="104"/>
      <c r="I39" s="104"/>
      <c r="J39" s="104"/>
      <c r="K39" s="104"/>
      <c r="L39" s="104"/>
      <c r="M39" s="104"/>
      <c r="N39" s="104"/>
      <c r="O39" s="104"/>
      <c r="P39" s="104"/>
      <c r="Q39" s="104"/>
      <c r="R39" s="97"/>
      <c r="S39" s="97"/>
      <c r="T39" s="97"/>
      <c r="U39" s="97"/>
      <c r="V39" s="97"/>
      <c r="W39" s="97"/>
      <c r="X39" s="97"/>
      <c r="Y39" s="97"/>
      <c r="Z39" s="97"/>
      <c r="AA39" s="97"/>
      <c r="AB39" s="97"/>
      <c r="AC39" s="97"/>
    </row>
    <row r="40" spans="1:29" ht="30" customHeight="1" x14ac:dyDescent="0.2">
      <c r="A40" s="95"/>
      <c r="B40" s="104"/>
      <c r="C40" s="104" t="s">
        <v>978</v>
      </c>
      <c r="D40" s="1179"/>
      <c r="E40" s="104"/>
      <c r="F40" s="104"/>
      <c r="G40" s="104"/>
      <c r="H40" s="104"/>
      <c r="I40" s="104"/>
      <c r="J40" s="104"/>
      <c r="K40" s="104"/>
      <c r="L40" s="104"/>
      <c r="M40" s="104"/>
      <c r="N40" s="104"/>
      <c r="O40" s="104"/>
      <c r="P40" s="104"/>
      <c r="Q40" s="104"/>
      <c r="R40" s="97"/>
      <c r="S40" s="97"/>
      <c r="T40" s="97"/>
      <c r="U40" s="97"/>
      <c r="V40" s="97"/>
      <c r="W40" s="97"/>
      <c r="X40" s="97"/>
      <c r="Y40" s="97"/>
      <c r="Z40" s="97"/>
      <c r="AA40" s="97"/>
      <c r="AB40" s="97"/>
      <c r="AC40" s="97"/>
    </row>
    <row r="41" spans="1:29" ht="30" customHeight="1" x14ac:dyDescent="0.2">
      <c r="A41" s="95"/>
      <c r="B41" s="104"/>
      <c r="C41" s="104"/>
      <c r="D41" s="1179" t="s">
        <v>979</v>
      </c>
      <c r="E41" s="104"/>
      <c r="F41" s="104"/>
      <c r="G41" s="104"/>
      <c r="H41" s="104"/>
      <c r="I41" s="104"/>
      <c r="J41" s="104"/>
      <c r="K41" s="104"/>
      <c r="L41" s="104"/>
      <c r="M41" s="104"/>
      <c r="N41" s="104"/>
      <c r="O41" s="104"/>
      <c r="P41" s="104"/>
      <c r="Q41" s="104"/>
      <c r="R41" s="97"/>
      <c r="S41" s="97"/>
      <c r="T41" s="97"/>
      <c r="U41" s="97"/>
      <c r="V41" s="97"/>
      <c r="W41" s="97"/>
      <c r="X41" s="97"/>
      <c r="Y41" s="97"/>
      <c r="Z41" s="97"/>
      <c r="AA41" s="97"/>
      <c r="AB41" s="97"/>
      <c r="AC41" s="97"/>
    </row>
    <row r="42" spans="1:29" ht="30" customHeight="1" x14ac:dyDescent="0.2">
      <c r="A42" s="95"/>
      <c r="B42" s="104"/>
      <c r="C42" s="104"/>
      <c r="D42" s="1179" t="s">
        <v>980</v>
      </c>
      <c r="E42" s="104"/>
      <c r="F42" s="104"/>
      <c r="G42" s="104"/>
      <c r="H42" s="104"/>
      <c r="I42" s="104"/>
      <c r="J42" s="104"/>
      <c r="K42" s="104"/>
      <c r="L42" s="104"/>
      <c r="M42" s="104"/>
      <c r="N42" s="104"/>
      <c r="O42" s="104"/>
      <c r="P42" s="104"/>
      <c r="Q42" s="104"/>
      <c r="R42" s="97"/>
      <c r="S42" s="97"/>
      <c r="T42" s="97"/>
      <c r="U42" s="97"/>
      <c r="V42" s="97"/>
      <c r="W42" s="97"/>
      <c r="X42" s="97"/>
      <c r="Y42" s="97"/>
      <c r="Z42" s="97"/>
      <c r="AA42" s="97"/>
      <c r="AB42" s="97"/>
      <c r="AC42" s="97"/>
    </row>
    <row r="43" spans="1:29" ht="30" customHeight="1" x14ac:dyDescent="0.2">
      <c r="A43" s="95"/>
      <c r="B43" s="104"/>
      <c r="C43" s="104"/>
      <c r="D43" s="1179" t="s">
        <v>878</v>
      </c>
      <c r="E43" s="104"/>
      <c r="F43" s="104"/>
      <c r="G43" s="104"/>
      <c r="H43" s="104"/>
      <c r="I43" s="104"/>
      <c r="J43" s="104"/>
      <c r="K43" s="104"/>
      <c r="L43" s="104"/>
      <c r="M43" s="104"/>
      <c r="N43" s="104"/>
      <c r="O43" s="104"/>
      <c r="P43" s="104"/>
      <c r="Q43" s="104"/>
      <c r="R43" s="97"/>
      <c r="S43" s="97"/>
      <c r="T43" s="97"/>
      <c r="U43" s="97"/>
      <c r="V43" s="97"/>
      <c r="W43" s="97"/>
      <c r="X43" s="97"/>
      <c r="Y43" s="97"/>
      <c r="Z43" s="97"/>
      <c r="AA43" s="97"/>
      <c r="AB43" s="97"/>
      <c r="AC43" s="97"/>
    </row>
    <row r="44" spans="1:29" ht="30" customHeight="1" x14ac:dyDescent="0.2">
      <c r="A44" s="95"/>
      <c r="B44" s="104"/>
      <c r="C44" s="104" t="s">
        <v>1059</v>
      </c>
      <c r="D44" s="1179"/>
      <c r="E44" s="104"/>
      <c r="F44" s="104"/>
      <c r="G44" s="104"/>
      <c r="H44" s="104"/>
      <c r="I44" s="104"/>
      <c r="J44" s="104"/>
      <c r="K44" s="104"/>
      <c r="L44" s="104"/>
      <c r="M44" s="104"/>
      <c r="N44" s="104"/>
      <c r="O44" s="104"/>
      <c r="P44" s="104"/>
      <c r="Q44" s="104"/>
      <c r="R44" s="97"/>
      <c r="S44" s="97"/>
      <c r="T44" s="97"/>
      <c r="U44" s="97"/>
      <c r="V44" s="97"/>
      <c r="W44" s="97"/>
      <c r="X44" s="97"/>
      <c r="Y44" s="97"/>
      <c r="Z44" s="97"/>
      <c r="AA44" s="97"/>
      <c r="AB44" s="97"/>
      <c r="AC44" s="97"/>
    </row>
    <row r="45" spans="1:29" ht="30" customHeight="1" x14ac:dyDescent="0.2">
      <c r="A45" s="95"/>
      <c r="B45" s="104"/>
      <c r="C45" s="104"/>
      <c r="D45" s="1179"/>
      <c r="E45" s="104"/>
      <c r="F45" s="104"/>
      <c r="G45" s="104"/>
      <c r="H45" s="104"/>
      <c r="I45" s="104"/>
      <c r="J45" s="104"/>
      <c r="K45" s="104"/>
      <c r="L45" s="104"/>
      <c r="M45" s="104"/>
      <c r="N45" s="104"/>
      <c r="O45" s="104"/>
      <c r="P45" s="104"/>
      <c r="Q45" s="104"/>
      <c r="R45" s="97"/>
      <c r="S45" s="97"/>
      <c r="T45" s="97"/>
      <c r="U45" s="97"/>
      <c r="V45" s="97"/>
      <c r="W45" s="97"/>
      <c r="X45" s="97"/>
      <c r="Y45" s="97"/>
      <c r="Z45" s="97"/>
      <c r="AA45" s="97"/>
      <c r="AB45" s="97"/>
      <c r="AC45" s="97"/>
    </row>
    <row r="46" spans="1:29" ht="30" customHeight="1" x14ac:dyDescent="0.2">
      <c r="A46" s="95"/>
      <c r="B46" s="104"/>
      <c r="C46" s="104" t="s">
        <v>981</v>
      </c>
      <c r="D46" s="1179"/>
      <c r="E46" s="104"/>
      <c r="F46" s="104"/>
      <c r="G46" s="104"/>
      <c r="H46" s="104"/>
      <c r="I46" s="104"/>
      <c r="J46" s="104"/>
      <c r="K46" s="104"/>
      <c r="L46" s="104"/>
      <c r="M46" s="104"/>
      <c r="N46" s="104"/>
      <c r="O46" s="104"/>
      <c r="P46" s="104"/>
      <c r="Q46" s="104"/>
      <c r="R46" s="97"/>
      <c r="S46" s="97"/>
      <c r="T46" s="97"/>
      <c r="U46" s="97"/>
      <c r="V46" s="97"/>
      <c r="W46" s="97"/>
      <c r="X46" s="97"/>
      <c r="Y46" s="97"/>
      <c r="Z46" s="97"/>
      <c r="AA46" s="97"/>
      <c r="AB46" s="97"/>
      <c r="AC46" s="97"/>
    </row>
    <row r="47" spans="1:29" ht="30" customHeight="1" x14ac:dyDescent="0.2">
      <c r="A47" s="95"/>
      <c r="B47" s="104"/>
      <c r="C47" s="104"/>
      <c r="D47" s="1179" t="s">
        <v>982</v>
      </c>
      <c r="E47" s="104"/>
      <c r="F47" s="104"/>
      <c r="G47" s="104"/>
      <c r="H47" s="104"/>
      <c r="I47" s="104"/>
      <c r="J47" s="104"/>
      <c r="K47" s="104"/>
      <c r="L47" s="104"/>
      <c r="M47" s="104"/>
      <c r="N47" s="104"/>
      <c r="O47" s="104"/>
      <c r="P47" s="104"/>
      <c r="Q47" s="104"/>
      <c r="R47" s="97"/>
      <c r="S47" s="97"/>
      <c r="T47" s="97"/>
      <c r="U47" s="97"/>
      <c r="V47" s="97"/>
      <c r="W47" s="97"/>
      <c r="X47" s="97"/>
      <c r="Y47" s="97"/>
      <c r="Z47" s="97"/>
      <c r="AA47" s="97"/>
      <c r="AB47" s="97"/>
      <c r="AC47" s="97"/>
    </row>
    <row r="48" spans="1:29" ht="30" customHeight="1" x14ac:dyDescent="0.2">
      <c r="A48" s="95"/>
      <c r="B48" s="104"/>
      <c r="C48" s="104"/>
      <c r="D48" s="1179"/>
      <c r="E48" s="104"/>
      <c r="F48" s="104"/>
      <c r="G48" s="104"/>
      <c r="H48" s="104"/>
      <c r="I48" s="104"/>
      <c r="J48" s="104"/>
      <c r="K48" s="104"/>
      <c r="L48" s="104"/>
      <c r="M48" s="104"/>
      <c r="N48" s="104"/>
      <c r="O48" s="104"/>
      <c r="P48" s="104"/>
      <c r="Q48" s="104"/>
      <c r="R48" s="97"/>
      <c r="S48" s="97"/>
      <c r="T48" s="97"/>
      <c r="U48" s="97"/>
      <c r="V48" s="97"/>
      <c r="W48" s="97"/>
      <c r="X48" s="97"/>
      <c r="Y48" s="97"/>
      <c r="Z48" s="97"/>
      <c r="AA48" s="97"/>
      <c r="AB48" s="97"/>
      <c r="AC48" s="97"/>
    </row>
    <row r="49" spans="1:44" ht="30" customHeight="1" x14ac:dyDescent="0.2">
      <c r="A49" s="95"/>
      <c r="B49" s="104"/>
      <c r="C49" s="104" t="s">
        <v>990</v>
      </c>
      <c r="D49" s="1179"/>
      <c r="E49" s="104"/>
      <c r="F49" s="104"/>
      <c r="G49" s="104"/>
      <c r="H49" s="104"/>
      <c r="I49" s="104"/>
      <c r="J49" s="104"/>
      <c r="K49" s="104"/>
      <c r="L49" s="104"/>
      <c r="M49" s="104"/>
      <c r="N49" s="104"/>
      <c r="O49" s="104"/>
      <c r="P49" s="104"/>
      <c r="Q49" s="104"/>
      <c r="R49" s="97"/>
      <c r="S49" s="97"/>
      <c r="T49" s="97"/>
      <c r="U49" s="97"/>
      <c r="V49" s="97"/>
      <c r="W49" s="97"/>
      <c r="X49" s="97"/>
      <c r="Y49" s="97"/>
      <c r="Z49" s="97"/>
      <c r="AA49" s="97"/>
      <c r="AB49" s="97"/>
      <c r="AC49" s="97"/>
    </row>
    <row r="50" spans="1:44" ht="30" customHeight="1" x14ac:dyDescent="0.2">
      <c r="A50" s="95"/>
      <c r="B50" s="104"/>
      <c r="C50" s="104"/>
      <c r="D50" s="1179" t="s">
        <v>991</v>
      </c>
      <c r="E50" s="104"/>
      <c r="F50" s="104"/>
      <c r="G50" s="104"/>
      <c r="H50" s="104"/>
      <c r="I50" s="104"/>
      <c r="J50" s="104"/>
      <c r="K50" s="104"/>
      <c r="L50" s="104"/>
      <c r="M50" s="104"/>
      <c r="N50" s="104"/>
      <c r="O50" s="104"/>
      <c r="P50" s="104"/>
      <c r="Q50" s="104"/>
      <c r="R50" s="97"/>
      <c r="S50" s="97"/>
      <c r="T50" s="97"/>
      <c r="U50" s="97"/>
      <c r="V50" s="97"/>
      <c r="W50" s="97"/>
      <c r="X50" s="97"/>
      <c r="Y50" s="97"/>
      <c r="Z50" s="97"/>
      <c r="AA50" s="97"/>
      <c r="AB50" s="97"/>
      <c r="AC50" s="97"/>
    </row>
    <row r="51" spans="1:44" ht="30" customHeight="1" x14ac:dyDescent="0.2">
      <c r="A51" s="95"/>
      <c r="B51" s="104"/>
      <c r="C51" s="104"/>
      <c r="D51" s="1179" t="s">
        <v>992</v>
      </c>
      <c r="E51" s="104"/>
      <c r="F51" s="104"/>
      <c r="G51" s="104"/>
      <c r="H51" s="104"/>
      <c r="I51" s="104"/>
      <c r="J51" s="104"/>
      <c r="K51" s="104"/>
      <c r="L51" s="104"/>
      <c r="M51" s="104"/>
      <c r="N51" s="104"/>
      <c r="O51" s="104"/>
      <c r="P51" s="104"/>
      <c r="Q51" s="104"/>
      <c r="R51" s="97"/>
      <c r="S51" s="97"/>
      <c r="T51" s="97"/>
      <c r="U51" s="97"/>
      <c r="V51" s="97"/>
      <c r="W51" s="97"/>
      <c r="X51" s="97"/>
      <c r="Y51" s="97"/>
      <c r="Z51" s="97"/>
      <c r="AA51" s="97"/>
      <c r="AB51" s="97"/>
      <c r="AC51" s="97"/>
    </row>
    <row r="52" spans="1:44" ht="30" customHeight="1" x14ac:dyDescent="0.2">
      <c r="A52" s="95"/>
      <c r="B52" s="104"/>
      <c r="C52" s="104"/>
      <c r="D52" s="1179"/>
      <c r="E52" s="104"/>
      <c r="F52" s="104"/>
      <c r="G52" s="104"/>
      <c r="H52" s="104"/>
      <c r="I52" s="104"/>
      <c r="J52" s="104"/>
      <c r="K52" s="104"/>
      <c r="L52" s="104"/>
      <c r="M52" s="104"/>
      <c r="N52" s="104"/>
      <c r="O52" s="104"/>
      <c r="P52" s="104"/>
      <c r="Q52" s="104"/>
      <c r="R52" s="97"/>
      <c r="S52" s="97"/>
      <c r="T52" s="97"/>
      <c r="U52" s="97"/>
      <c r="V52" s="97"/>
      <c r="W52" s="97"/>
      <c r="X52" s="97"/>
      <c r="Y52" s="97"/>
      <c r="Z52" s="97"/>
      <c r="AA52" s="97"/>
      <c r="AB52" s="97"/>
      <c r="AC52" s="97"/>
    </row>
    <row r="53" spans="1:44" ht="30" customHeight="1" x14ac:dyDescent="0.25">
      <c r="A53" s="95"/>
      <c r="B53" s="101"/>
      <c r="C53" s="95"/>
      <c r="D53" s="95"/>
      <c r="E53" s="95"/>
      <c r="F53" s="95"/>
      <c r="G53" s="95"/>
      <c r="H53" s="95"/>
      <c r="I53" s="96"/>
      <c r="J53" s="95"/>
      <c r="K53" s="95"/>
      <c r="L53" s="96"/>
      <c r="M53" s="96"/>
      <c r="N53" s="96"/>
      <c r="O53" s="96"/>
      <c r="P53" s="96"/>
      <c r="Q53" s="97"/>
      <c r="R53" s="97"/>
      <c r="S53" s="97"/>
      <c r="T53" s="97"/>
      <c r="U53" s="97"/>
      <c r="V53" s="97"/>
      <c r="W53" s="97"/>
      <c r="X53" s="97"/>
      <c r="Y53" s="97"/>
      <c r="Z53" s="97"/>
      <c r="AA53" s="97"/>
      <c r="AB53" s="97"/>
      <c r="AC53" s="97"/>
    </row>
    <row r="54" spans="1:44" ht="30" customHeight="1" x14ac:dyDescent="0.25">
      <c r="A54" s="95"/>
      <c r="B54" s="101"/>
      <c r="C54" s="95"/>
      <c r="D54" s="95"/>
      <c r="E54" s="95"/>
      <c r="F54" s="95"/>
      <c r="G54" s="95"/>
      <c r="H54" s="95"/>
      <c r="I54" s="96"/>
      <c r="J54" s="95"/>
      <c r="K54" s="95"/>
      <c r="L54" s="96"/>
      <c r="M54" s="96"/>
      <c r="N54" s="96"/>
      <c r="O54" s="96"/>
      <c r="P54" s="96"/>
      <c r="Q54" s="97"/>
      <c r="R54" s="97"/>
      <c r="S54" s="97"/>
      <c r="T54" s="97"/>
      <c r="U54" s="97"/>
      <c r="V54" s="97"/>
      <c r="W54" s="97"/>
      <c r="X54" s="97"/>
      <c r="Y54" s="97"/>
      <c r="Z54" s="97"/>
      <c r="AA54" s="97"/>
      <c r="AB54" s="97"/>
      <c r="AC54" s="97"/>
    </row>
    <row r="55" spans="1:44" ht="30" customHeight="1" x14ac:dyDescent="0.25">
      <c r="A55" s="95"/>
      <c r="B55" s="101"/>
      <c r="C55" s="95"/>
      <c r="D55" s="95"/>
      <c r="E55" s="95"/>
      <c r="F55" s="95"/>
      <c r="G55" s="95"/>
      <c r="H55" s="95"/>
      <c r="I55" s="96"/>
      <c r="J55" s="95"/>
      <c r="K55" s="95"/>
      <c r="L55" s="96"/>
      <c r="M55" s="96"/>
      <c r="N55" s="96"/>
      <c r="O55" s="96"/>
      <c r="P55" s="96"/>
      <c r="Q55" s="97"/>
      <c r="R55" s="97"/>
      <c r="S55" s="97"/>
      <c r="T55" s="97"/>
      <c r="U55" s="97"/>
      <c r="V55" s="97"/>
      <c r="W55" s="97"/>
      <c r="X55" s="97"/>
      <c r="Y55" s="97"/>
      <c r="Z55" s="97"/>
      <c r="AA55" s="97"/>
      <c r="AB55" s="97"/>
      <c r="AC55" s="97"/>
    </row>
    <row r="56" spans="1:44" s="106" customFormat="1" ht="40.5" customHeight="1" x14ac:dyDescent="0.25">
      <c r="A56" s="95"/>
      <c r="B56" s="105" t="s">
        <v>158</v>
      </c>
      <c r="C56" s="95"/>
      <c r="D56" s="95"/>
      <c r="E56" s="95"/>
      <c r="F56" s="95"/>
      <c r="G56" s="95"/>
      <c r="H56" s="95"/>
      <c r="I56" s="96"/>
      <c r="J56" s="95"/>
      <c r="K56" s="95"/>
      <c r="L56" s="96"/>
      <c r="M56" s="96"/>
      <c r="N56" s="96"/>
      <c r="O56" s="96"/>
      <c r="P56" s="96"/>
      <c r="Q56" s="105" t="s">
        <v>159</v>
      </c>
      <c r="R56" s="97"/>
      <c r="S56" s="97"/>
      <c r="T56" s="97"/>
      <c r="U56" s="97"/>
      <c r="V56" s="97"/>
      <c r="W56" s="97"/>
      <c r="X56" s="97"/>
      <c r="Y56" s="97"/>
      <c r="Z56" s="97"/>
      <c r="AA56" s="97"/>
      <c r="AB56" s="97"/>
      <c r="AC56" s="97"/>
      <c r="AD56" s="98"/>
      <c r="AE56" s="98"/>
      <c r="AL56" s="98"/>
      <c r="AM56" s="98"/>
      <c r="AN56" s="98"/>
      <c r="AO56" s="98"/>
      <c r="AP56" s="98"/>
      <c r="AQ56" s="98"/>
      <c r="AR56" s="98"/>
    </row>
    <row r="57" spans="1:44" s="106" customFormat="1" ht="40.5" customHeight="1" x14ac:dyDescent="0.25">
      <c r="A57" s="95"/>
      <c r="B57" s="107"/>
      <c r="C57" s="108" t="s">
        <v>160</v>
      </c>
      <c r="D57" s="95"/>
      <c r="E57" s="109" t="s">
        <v>161</v>
      </c>
      <c r="F57" s="96"/>
      <c r="G57" s="110" t="s">
        <v>162</v>
      </c>
      <c r="H57" s="95"/>
      <c r="I57" s="96"/>
      <c r="J57" s="101" t="s">
        <v>163</v>
      </c>
      <c r="K57" s="95"/>
      <c r="L57" s="96"/>
      <c r="M57" s="96"/>
      <c r="N57" s="96"/>
      <c r="O57" s="96"/>
      <c r="P57" s="96"/>
      <c r="Q57" s="111" t="s">
        <v>164</v>
      </c>
      <c r="R57" s="112"/>
      <c r="S57" s="113">
        <v>15.5</v>
      </c>
      <c r="T57" s="97"/>
      <c r="U57" s="114">
        <v>15.5</v>
      </c>
      <c r="V57" s="97"/>
      <c r="W57" s="115">
        <v>15.5</v>
      </c>
      <c r="X57" s="97"/>
      <c r="Y57" s="97"/>
      <c r="Z57" s="97"/>
      <c r="AA57" s="97"/>
      <c r="AB57" s="97"/>
      <c r="AC57" s="97"/>
      <c r="AD57" s="98"/>
      <c r="AE57" s="98"/>
      <c r="AF57" s="98"/>
      <c r="AG57" s="98"/>
      <c r="AH57" s="98"/>
      <c r="AI57" s="98"/>
      <c r="AJ57" s="98"/>
      <c r="AK57" s="98"/>
      <c r="AL57" s="98"/>
      <c r="AM57" s="98"/>
      <c r="AN57" s="98"/>
      <c r="AO57" s="98"/>
      <c r="AP57" s="98"/>
      <c r="AQ57" s="98"/>
      <c r="AR57" s="98"/>
    </row>
    <row r="58" spans="1:44" s="106" customFormat="1" ht="40.5" customHeight="1" x14ac:dyDescent="0.25">
      <c r="A58" s="95"/>
      <c r="B58" s="107"/>
      <c r="C58" s="108" t="s">
        <v>165</v>
      </c>
      <c r="D58" s="95"/>
      <c r="E58" s="109" t="s">
        <v>166</v>
      </c>
      <c r="F58" s="96"/>
      <c r="G58" s="110" t="s">
        <v>167</v>
      </c>
      <c r="H58" s="95"/>
      <c r="I58" s="96"/>
      <c r="J58" s="101" t="s">
        <v>168</v>
      </c>
      <c r="K58" s="95"/>
      <c r="L58" s="96"/>
      <c r="M58" s="96"/>
      <c r="N58" s="96"/>
      <c r="O58" s="96"/>
      <c r="P58" s="96"/>
      <c r="Q58" s="116" t="s">
        <v>169</v>
      </c>
      <c r="R58" s="112"/>
      <c r="S58" s="109" t="s">
        <v>170</v>
      </c>
      <c r="T58" s="97"/>
      <c r="U58" s="117" t="s">
        <v>171</v>
      </c>
      <c r="V58" s="97"/>
      <c r="W58" s="109" t="s">
        <v>172</v>
      </c>
      <c r="X58" s="97"/>
      <c r="Y58" s="97"/>
      <c r="Z58" s="97"/>
      <c r="AA58" s="97"/>
      <c r="AB58" s="97"/>
      <c r="AC58" s="97"/>
      <c r="AD58" s="98"/>
      <c r="AE58" s="98"/>
      <c r="AF58" s="98"/>
      <c r="AG58" s="98"/>
      <c r="AH58" s="98"/>
      <c r="AI58" s="98"/>
      <c r="AJ58" s="98"/>
      <c r="AK58" s="98"/>
      <c r="AL58" s="98"/>
      <c r="AM58" s="98"/>
      <c r="AN58" s="98"/>
      <c r="AO58" s="98"/>
      <c r="AP58" s="98"/>
      <c r="AQ58" s="98"/>
      <c r="AR58" s="98"/>
    </row>
    <row r="59" spans="1:44" s="106" customFormat="1" ht="40.5" customHeight="1" x14ac:dyDescent="0.25">
      <c r="A59" s="95"/>
      <c r="B59" s="107"/>
      <c r="C59" s="95"/>
      <c r="D59" s="95"/>
      <c r="E59" s="95"/>
      <c r="F59" s="95"/>
      <c r="G59" s="95"/>
      <c r="H59" s="95"/>
      <c r="I59" s="96"/>
      <c r="J59" s="95"/>
      <c r="K59" s="95"/>
      <c r="L59" s="96"/>
      <c r="M59" s="96"/>
      <c r="N59" s="96"/>
      <c r="O59" s="96"/>
      <c r="P59" s="96"/>
      <c r="Q59" s="97"/>
      <c r="R59" s="97"/>
      <c r="S59" s="97"/>
      <c r="T59" s="97"/>
      <c r="U59" s="97"/>
      <c r="V59" s="97"/>
      <c r="W59" s="97"/>
      <c r="X59" s="97"/>
      <c r="Y59" s="97"/>
      <c r="Z59" s="97"/>
      <c r="AA59" s="97"/>
      <c r="AB59" s="97"/>
      <c r="AC59" s="97"/>
      <c r="AD59" s="98"/>
      <c r="AE59" s="98"/>
      <c r="AF59" s="98"/>
      <c r="AG59" s="98"/>
      <c r="AH59" s="98"/>
      <c r="AI59" s="98"/>
      <c r="AJ59" s="98"/>
      <c r="AK59" s="98"/>
      <c r="AL59" s="98"/>
      <c r="AM59" s="98"/>
      <c r="AN59" s="98"/>
      <c r="AO59" s="98"/>
      <c r="AP59" s="98"/>
      <c r="AQ59" s="98"/>
      <c r="AR59" s="98"/>
    </row>
    <row r="60" spans="1:44" s="106" customFormat="1" ht="40.5" customHeight="1" x14ac:dyDescent="0.25">
      <c r="A60" s="95"/>
      <c r="B60" s="105" t="s">
        <v>173</v>
      </c>
      <c r="C60" s="95"/>
      <c r="D60" s="95"/>
      <c r="E60" s="95"/>
      <c r="F60" s="95"/>
      <c r="G60" s="95"/>
      <c r="H60" s="95"/>
      <c r="I60" s="96"/>
      <c r="J60" s="95"/>
      <c r="K60" s="95"/>
      <c r="L60" s="96"/>
      <c r="M60" s="96"/>
      <c r="N60" s="96"/>
      <c r="O60" s="96"/>
      <c r="P60" s="96"/>
      <c r="Q60" s="97"/>
      <c r="R60" s="97"/>
      <c r="S60" s="97"/>
      <c r="T60" s="97"/>
      <c r="U60" s="97"/>
      <c r="V60" s="97"/>
      <c r="W60" s="97"/>
      <c r="X60" s="97"/>
      <c r="Y60" s="97"/>
      <c r="Z60" s="97"/>
      <c r="AA60" s="97"/>
      <c r="AB60" s="97"/>
      <c r="AC60" s="97"/>
      <c r="AD60" s="98"/>
      <c r="AE60" s="98"/>
      <c r="AF60" s="98"/>
      <c r="AG60" s="98"/>
      <c r="AH60" s="98"/>
      <c r="AI60" s="98"/>
      <c r="AJ60" s="98"/>
      <c r="AK60" s="98"/>
      <c r="AL60" s="98"/>
      <c r="AM60" s="98"/>
      <c r="AN60" s="98"/>
      <c r="AO60" s="98"/>
      <c r="AP60" s="98"/>
      <c r="AQ60" s="98"/>
      <c r="AR60" s="98"/>
    </row>
    <row r="61" spans="1:44" s="106" customFormat="1" ht="40.5" customHeight="1" x14ac:dyDescent="0.25">
      <c r="A61" s="95"/>
      <c r="B61" s="107"/>
      <c r="C61" s="118" t="s">
        <v>174</v>
      </c>
      <c r="D61" s="95"/>
      <c r="E61" s="95"/>
      <c r="F61" s="95"/>
      <c r="G61" s="95"/>
      <c r="H61" s="119" t="s">
        <v>175</v>
      </c>
      <c r="I61" s="119"/>
      <c r="J61" s="95"/>
      <c r="K61" s="95"/>
      <c r="L61" s="96"/>
      <c r="M61" s="96"/>
      <c r="N61" s="96"/>
      <c r="O61" s="96"/>
      <c r="P61" s="120" t="s">
        <v>176</v>
      </c>
      <c r="Q61" s="120"/>
      <c r="R61" s="97"/>
      <c r="S61" s="97"/>
      <c r="T61" s="97"/>
      <c r="U61" s="97"/>
      <c r="V61" s="121" t="s">
        <v>177</v>
      </c>
      <c r="W61" s="121"/>
      <c r="X61" s="97"/>
      <c r="Y61" s="97"/>
      <c r="Z61" s="97"/>
      <c r="AA61" s="97"/>
      <c r="AB61" s="97"/>
      <c r="AC61" s="97"/>
      <c r="AD61" s="98"/>
      <c r="AE61" s="98"/>
      <c r="AF61" s="98"/>
      <c r="AG61" s="98"/>
      <c r="AH61" s="98"/>
      <c r="AI61" s="98"/>
      <c r="AJ61" s="98"/>
      <c r="AK61" s="98"/>
      <c r="AL61" s="98"/>
      <c r="AM61" s="98"/>
      <c r="AN61" s="98"/>
      <c r="AO61" s="98"/>
      <c r="AP61" s="98"/>
      <c r="AQ61" s="98"/>
      <c r="AR61" s="98"/>
    </row>
    <row r="62" spans="1:44" s="106" customFormat="1" ht="40.5" customHeight="1" x14ac:dyDescent="0.25">
      <c r="A62" s="95"/>
      <c r="B62" s="107"/>
      <c r="C62" s="122" t="s">
        <v>178</v>
      </c>
      <c r="D62" s="95"/>
      <c r="E62" s="95"/>
      <c r="F62" s="95"/>
      <c r="G62" s="95"/>
      <c r="H62" s="123" t="s">
        <v>179</v>
      </c>
      <c r="I62" s="123"/>
      <c r="J62" s="95"/>
      <c r="K62" s="95"/>
      <c r="L62" s="96"/>
      <c r="M62" s="96"/>
      <c r="N62" s="96"/>
      <c r="O62" s="96"/>
      <c r="P62" s="124" t="s">
        <v>180</v>
      </c>
      <c r="Q62" s="124"/>
      <c r="R62" s="97"/>
      <c r="S62" s="97"/>
      <c r="T62" s="97"/>
      <c r="U62" s="97"/>
      <c r="V62" s="125" t="s">
        <v>181</v>
      </c>
      <c r="W62" s="125"/>
      <c r="X62" s="97"/>
      <c r="Y62" s="97"/>
      <c r="Z62" s="97"/>
      <c r="AA62" s="97"/>
      <c r="AB62" s="97"/>
      <c r="AC62" s="97"/>
      <c r="AD62" s="98"/>
      <c r="AE62" s="98"/>
      <c r="AF62" s="98"/>
      <c r="AG62" s="98"/>
      <c r="AH62" s="98"/>
      <c r="AI62" s="98"/>
      <c r="AJ62" s="98"/>
      <c r="AK62" s="98"/>
      <c r="AL62" s="98"/>
      <c r="AM62" s="98"/>
      <c r="AN62" s="98"/>
      <c r="AO62" s="98"/>
      <c r="AP62" s="98"/>
      <c r="AQ62" s="98"/>
      <c r="AR62" s="98"/>
    </row>
    <row r="63" spans="1:44" s="106" customFormat="1" ht="40.5" customHeight="1" x14ac:dyDescent="0.25">
      <c r="A63" s="95"/>
      <c r="B63" s="107"/>
      <c r="C63" s="126" t="s">
        <v>182</v>
      </c>
      <c r="D63" s="95"/>
      <c r="E63" s="95"/>
      <c r="F63" s="95"/>
      <c r="G63" s="95"/>
      <c r="H63" s="95"/>
      <c r="I63" s="96"/>
      <c r="J63" s="95"/>
      <c r="K63" s="95"/>
      <c r="L63" s="96"/>
      <c r="M63" s="96"/>
      <c r="N63" s="96"/>
      <c r="O63" s="96"/>
      <c r="P63" s="96"/>
      <c r="Q63" s="97"/>
      <c r="R63" s="97"/>
      <c r="S63" s="97"/>
      <c r="T63" s="97"/>
      <c r="U63" s="97"/>
      <c r="V63" s="97"/>
      <c r="W63" s="97"/>
      <c r="X63" s="97"/>
      <c r="Y63" s="97"/>
      <c r="Z63" s="97"/>
      <c r="AA63" s="97"/>
      <c r="AB63" s="97"/>
      <c r="AC63" s="97"/>
      <c r="AD63" s="98"/>
      <c r="AE63" s="98"/>
      <c r="AF63" s="98"/>
      <c r="AG63" s="98"/>
      <c r="AH63" s="98"/>
      <c r="AI63" s="98"/>
      <c r="AJ63" s="98"/>
      <c r="AK63" s="98"/>
      <c r="AL63" s="98"/>
      <c r="AM63" s="98"/>
      <c r="AN63" s="98"/>
      <c r="AO63" s="98"/>
      <c r="AP63" s="98"/>
      <c r="AQ63" s="98"/>
      <c r="AR63" s="98"/>
    </row>
    <row r="64" spans="1:44" s="129" customFormat="1" ht="40.5" customHeight="1" x14ac:dyDescent="0.25">
      <c r="A64" s="127"/>
      <c r="B64" s="105" t="s">
        <v>183</v>
      </c>
      <c r="C64" s="127"/>
      <c r="D64" s="127"/>
      <c r="E64" s="127"/>
      <c r="F64" s="127"/>
      <c r="G64" s="127"/>
      <c r="H64" s="127"/>
      <c r="I64" s="96"/>
      <c r="J64" s="127"/>
      <c r="K64" s="127"/>
      <c r="L64" s="96"/>
      <c r="M64" s="96"/>
      <c r="N64" s="96"/>
      <c r="O64" s="96"/>
      <c r="P64" s="96"/>
      <c r="Q64" s="128"/>
      <c r="R64" s="128"/>
      <c r="S64" s="128"/>
      <c r="T64" s="128"/>
      <c r="U64" s="128"/>
      <c r="V64" s="128"/>
      <c r="W64" s="128"/>
      <c r="X64" s="128"/>
      <c r="Y64" s="128"/>
      <c r="Z64" s="128"/>
      <c r="AA64" s="128"/>
      <c r="AB64" s="128"/>
      <c r="AC64" s="128"/>
      <c r="AD64" s="98"/>
      <c r="AE64" s="98"/>
      <c r="AF64" s="98"/>
      <c r="AG64" s="98"/>
    </row>
    <row r="65" spans="1:33" s="129" customFormat="1" ht="40.5" customHeight="1" x14ac:dyDescent="0.2">
      <c r="A65" s="127"/>
      <c r="B65" s="130"/>
      <c r="C65" s="131" t="s">
        <v>184</v>
      </c>
      <c r="D65" s="132" t="s">
        <v>185</v>
      </c>
      <c r="E65" s="133" t="s">
        <v>186</v>
      </c>
      <c r="F65" s="134" t="s">
        <v>187</v>
      </c>
      <c r="G65" s="135" t="s">
        <v>188</v>
      </c>
      <c r="H65" s="136" t="s">
        <v>189</v>
      </c>
      <c r="I65" s="137" t="s">
        <v>190</v>
      </c>
      <c r="J65" s="138" t="s">
        <v>191</v>
      </c>
      <c r="K65" s="139" t="s">
        <v>192</v>
      </c>
      <c r="L65" s="140" t="s">
        <v>193</v>
      </c>
      <c r="M65" s="141" t="s">
        <v>194</v>
      </c>
      <c r="N65" s="142" t="s">
        <v>195</v>
      </c>
      <c r="O65" s="143" t="s">
        <v>196</v>
      </c>
      <c r="P65" s="134" t="s">
        <v>197</v>
      </c>
      <c r="Q65" s="144" t="s">
        <v>198</v>
      </c>
      <c r="R65" s="145" t="s">
        <v>199</v>
      </c>
      <c r="S65" s="146" t="s">
        <v>200</v>
      </c>
      <c r="T65" s="147" t="s">
        <v>201</v>
      </c>
      <c r="U65" s="148" t="s">
        <v>202</v>
      </c>
      <c r="V65" s="133" t="s">
        <v>203</v>
      </c>
      <c r="W65" s="128"/>
      <c r="X65" s="128"/>
      <c r="Y65" s="128"/>
      <c r="Z65" s="128"/>
      <c r="AA65" s="128"/>
      <c r="AB65" s="128"/>
      <c r="AC65" s="128"/>
      <c r="AD65" s="98"/>
      <c r="AE65" s="98"/>
      <c r="AF65" s="98"/>
      <c r="AG65" s="98"/>
    </row>
    <row r="66" spans="1:33" s="129" customFormat="1" ht="40.5" customHeight="1" x14ac:dyDescent="0.25">
      <c r="A66" s="127"/>
      <c r="B66" s="130"/>
      <c r="C66" s="127"/>
      <c r="D66" s="127"/>
      <c r="E66" s="127"/>
      <c r="F66" s="127"/>
      <c r="G66" s="127"/>
      <c r="H66" s="127"/>
      <c r="I66" s="96"/>
      <c r="J66" s="127"/>
      <c r="K66" s="127"/>
      <c r="L66" s="96"/>
      <c r="M66" s="96"/>
      <c r="N66" s="96"/>
      <c r="O66" s="96"/>
      <c r="P66" s="96"/>
      <c r="Q66" s="128"/>
      <c r="R66" s="128"/>
      <c r="S66" s="128"/>
      <c r="T66" s="128"/>
      <c r="U66" s="128"/>
      <c r="V66" s="128"/>
      <c r="W66" s="128"/>
      <c r="X66" s="128"/>
      <c r="Y66" s="128"/>
      <c r="Z66" s="128"/>
      <c r="AA66" s="128"/>
      <c r="AB66" s="128"/>
      <c r="AC66" s="128"/>
      <c r="AD66" s="98"/>
      <c r="AE66" s="98"/>
      <c r="AF66" s="98"/>
      <c r="AG66" s="98"/>
    </row>
    <row r="67" spans="1:33" s="129" customFormat="1" ht="40.5" customHeight="1" x14ac:dyDescent="0.2">
      <c r="A67" s="127"/>
      <c r="B67" s="130"/>
      <c r="C67" s="149" t="s">
        <v>184</v>
      </c>
      <c r="D67" s="149" t="s">
        <v>185</v>
      </c>
      <c r="E67" s="149" t="s">
        <v>186</v>
      </c>
      <c r="F67" s="149" t="s">
        <v>187</v>
      </c>
      <c r="G67" s="149" t="s">
        <v>188</v>
      </c>
      <c r="H67" s="149" t="s">
        <v>189</v>
      </c>
      <c r="I67" s="149" t="s">
        <v>190</v>
      </c>
      <c r="J67" s="149" t="s">
        <v>191</v>
      </c>
      <c r="K67" s="149" t="s">
        <v>192</v>
      </c>
      <c r="L67" s="149" t="s">
        <v>193</v>
      </c>
      <c r="M67" s="149" t="s">
        <v>194</v>
      </c>
      <c r="N67" s="149" t="s">
        <v>195</v>
      </c>
      <c r="O67" s="149" t="s">
        <v>196</v>
      </c>
      <c r="P67" s="149" t="s">
        <v>197</v>
      </c>
      <c r="Q67" s="149" t="s">
        <v>198</v>
      </c>
      <c r="R67" s="149" t="s">
        <v>199</v>
      </c>
      <c r="S67" s="149" t="s">
        <v>200</v>
      </c>
      <c r="T67" s="149" t="s">
        <v>201</v>
      </c>
      <c r="U67" s="149" t="s">
        <v>202</v>
      </c>
      <c r="V67" s="149" t="s">
        <v>203</v>
      </c>
      <c r="W67" s="128"/>
      <c r="X67" s="128"/>
      <c r="Y67" s="128"/>
      <c r="Z67" s="128"/>
      <c r="AA67" s="128"/>
      <c r="AB67" s="128"/>
      <c r="AC67" s="128"/>
      <c r="AD67" s="98"/>
      <c r="AE67" s="98"/>
      <c r="AF67" s="98"/>
      <c r="AG67" s="98"/>
    </row>
    <row r="68" spans="1:33" s="129" customFormat="1" ht="40.5" customHeight="1" x14ac:dyDescent="0.25">
      <c r="A68" s="127"/>
      <c r="B68" s="130"/>
      <c r="C68" s="127"/>
      <c r="D68" s="127"/>
      <c r="E68" s="127"/>
      <c r="F68" s="127"/>
      <c r="G68" s="127"/>
      <c r="H68" s="127"/>
      <c r="I68" s="96"/>
      <c r="J68" s="127"/>
      <c r="K68" s="127"/>
      <c r="L68" s="96"/>
      <c r="M68" s="96"/>
      <c r="N68" s="96"/>
      <c r="O68" s="96"/>
      <c r="P68" s="96"/>
      <c r="Q68" s="128"/>
      <c r="R68" s="128"/>
      <c r="S68" s="128"/>
      <c r="T68" s="128"/>
      <c r="U68" s="128"/>
      <c r="V68" s="128"/>
      <c r="W68" s="128"/>
      <c r="X68" s="128"/>
      <c r="Y68" s="128"/>
      <c r="Z68" s="128"/>
      <c r="AA68" s="128"/>
      <c r="AB68" s="128"/>
      <c r="AC68" s="128"/>
      <c r="AD68" s="98"/>
      <c r="AE68" s="98"/>
      <c r="AF68" s="98"/>
      <c r="AG68" s="98"/>
    </row>
    <row r="69" spans="1:33" s="129" customFormat="1" ht="40.5" customHeight="1" x14ac:dyDescent="0.2">
      <c r="A69" s="127"/>
      <c r="B69" s="130"/>
      <c r="C69" s="150">
        <v>1</v>
      </c>
      <c r="D69" s="150" t="s">
        <v>204</v>
      </c>
      <c r="E69" s="150" t="s">
        <v>205</v>
      </c>
      <c r="F69" s="150" t="s">
        <v>206</v>
      </c>
      <c r="G69" s="150" t="s">
        <v>207</v>
      </c>
      <c r="H69" s="150" t="s">
        <v>208</v>
      </c>
      <c r="I69" s="150" t="s">
        <v>209</v>
      </c>
      <c r="J69" s="150" t="s">
        <v>210</v>
      </c>
      <c r="K69" s="150" t="s">
        <v>211</v>
      </c>
      <c r="L69" s="150" t="s">
        <v>212</v>
      </c>
      <c r="M69" s="150" t="s">
        <v>213</v>
      </c>
      <c r="N69" s="150" t="s">
        <v>214</v>
      </c>
      <c r="O69" s="150" t="s">
        <v>215</v>
      </c>
      <c r="P69" s="150" t="s">
        <v>216</v>
      </c>
      <c r="Q69" s="150" t="s">
        <v>217</v>
      </c>
      <c r="R69" s="150" t="s">
        <v>218</v>
      </c>
      <c r="S69" s="150" t="s">
        <v>219</v>
      </c>
      <c r="T69" s="150" t="s">
        <v>220</v>
      </c>
      <c r="U69" s="150" t="s">
        <v>221</v>
      </c>
      <c r="V69" s="150" t="s">
        <v>222</v>
      </c>
      <c r="W69" s="128"/>
      <c r="X69" s="128"/>
      <c r="Y69" s="128"/>
      <c r="Z69" s="128"/>
      <c r="AA69" s="128"/>
      <c r="AB69" s="128"/>
      <c r="AC69" s="128"/>
      <c r="AD69" s="98"/>
      <c r="AE69" s="98"/>
      <c r="AF69" s="98"/>
      <c r="AG69" s="98"/>
    </row>
    <row r="70" spans="1:33" s="129" customFormat="1" ht="40.5" customHeight="1" x14ac:dyDescent="0.25">
      <c r="A70" s="127"/>
      <c r="B70" s="130"/>
      <c r="C70" s="127"/>
      <c r="D70" s="127"/>
      <c r="E70" s="127"/>
      <c r="F70" s="127"/>
      <c r="G70" s="127"/>
      <c r="H70" s="127"/>
      <c r="I70" s="96"/>
      <c r="J70" s="127"/>
      <c r="K70" s="127"/>
      <c r="L70" s="96"/>
      <c r="M70" s="96"/>
      <c r="N70" s="96"/>
      <c r="O70" s="96"/>
      <c r="P70" s="96"/>
      <c r="Q70" s="128"/>
      <c r="R70" s="128"/>
      <c r="S70" s="128"/>
      <c r="T70" s="128"/>
      <c r="U70" s="128"/>
      <c r="V70" s="128"/>
      <c r="W70" s="128"/>
      <c r="X70" s="128"/>
      <c r="Y70" s="128"/>
      <c r="Z70" s="128"/>
      <c r="AA70" s="128"/>
      <c r="AB70" s="128"/>
      <c r="AC70" s="128"/>
      <c r="AD70" s="98"/>
      <c r="AE70" s="98"/>
      <c r="AF70" s="98"/>
      <c r="AG70" s="98"/>
    </row>
    <row r="71" spans="1:33" s="129" customFormat="1" ht="40.5" customHeight="1" x14ac:dyDescent="0.2">
      <c r="A71" s="127"/>
      <c r="B71" s="130"/>
      <c r="C71" s="151">
        <v>1</v>
      </c>
      <c r="D71" s="152">
        <v>2</v>
      </c>
      <c r="E71" s="151">
        <v>3</v>
      </c>
      <c r="F71" s="152">
        <v>4</v>
      </c>
      <c r="G71" s="151">
        <v>5</v>
      </c>
      <c r="H71" s="152">
        <v>6</v>
      </c>
      <c r="I71" s="151">
        <v>7</v>
      </c>
      <c r="J71" s="152">
        <v>8</v>
      </c>
      <c r="K71" s="151">
        <v>9</v>
      </c>
      <c r="L71" s="152">
        <v>10</v>
      </c>
      <c r="M71" s="151">
        <v>11</v>
      </c>
      <c r="N71" s="152">
        <v>12</v>
      </c>
      <c r="O71" s="151">
        <v>13</v>
      </c>
      <c r="P71" s="152">
        <v>14</v>
      </c>
      <c r="Q71" s="151">
        <v>15</v>
      </c>
      <c r="R71" s="152">
        <v>16</v>
      </c>
      <c r="S71" s="151">
        <v>17</v>
      </c>
      <c r="T71" s="152">
        <v>18</v>
      </c>
      <c r="U71" s="151">
        <v>19</v>
      </c>
      <c r="V71" s="152">
        <v>20</v>
      </c>
      <c r="W71" s="128"/>
      <c r="X71" s="128"/>
      <c r="Y71" s="128"/>
      <c r="Z71" s="128"/>
      <c r="AA71" s="128"/>
      <c r="AB71" s="128"/>
      <c r="AC71" s="128"/>
      <c r="AD71" s="98"/>
      <c r="AE71" s="98"/>
      <c r="AF71" s="98"/>
      <c r="AG71" s="98"/>
    </row>
    <row r="72" spans="1:33" s="129" customFormat="1" ht="40.5" customHeight="1" x14ac:dyDescent="0.25">
      <c r="A72" s="127"/>
      <c r="B72" s="130"/>
      <c r="C72" s="127"/>
      <c r="D72" s="127"/>
      <c r="E72" s="127"/>
      <c r="F72" s="127"/>
      <c r="G72" s="127"/>
      <c r="H72" s="127"/>
      <c r="I72" s="96"/>
      <c r="J72" s="127"/>
      <c r="K72" s="127"/>
      <c r="L72" s="96"/>
      <c r="M72" s="96"/>
      <c r="N72" s="96"/>
      <c r="O72" s="96"/>
      <c r="P72" s="96"/>
      <c r="Q72" s="128"/>
      <c r="R72" s="128"/>
      <c r="S72" s="128"/>
      <c r="T72" s="128"/>
      <c r="U72" s="128"/>
      <c r="V72" s="128"/>
      <c r="W72" s="128"/>
      <c r="X72" s="128"/>
      <c r="Y72" s="128"/>
      <c r="Z72" s="128"/>
      <c r="AA72" s="128"/>
      <c r="AB72" s="128"/>
      <c r="AC72" s="128"/>
      <c r="AD72" s="98"/>
      <c r="AE72" s="98"/>
      <c r="AF72" s="98"/>
      <c r="AG72" s="98"/>
    </row>
    <row r="73" spans="1:33" s="129" customFormat="1" ht="40.5" customHeight="1" x14ac:dyDescent="0.25">
      <c r="A73" s="127"/>
      <c r="B73" s="130"/>
      <c r="C73" s="153" t="s">
        <v>223</v>
      </c>
      <c r="D73" s="154"/>
      <c r="E73" s="154"/>
      <c r="F73" s="154"/>
      <c r="G73" s="96"/>
      <c r="H73" s="96"/>
      <c r="I73" s="96"/>
      <c r="J73" s="96"/>
      <c r="K73" s="96"/>
      <c r="L73" s="155" t="s">
        <v>224</v>
      </c>
      <c r="M73" s="96"/>
      <c r="N73" s="96"/>
      <c r="O73" s="96"/>
      <c r="P73" s="96"/>
      <c r="Q73" s="128"/>
      <c r="R73" s="156"/>
      <c r="S73" s="128"/>
      <c r="T73" s="128"/>
      <c r="U73" s="128"/>
      <c r="V73" s="128"/>
      <c r="W73" s="128"/>
      <c r="X73" s="128"/>
      <c r="Y73" s="128"/>
      <c r="Z73" s="128"/>
      <c r="AA73" s="128"/>
      <c r="AB73" s="128"/>
      <c r="AC73" s="128"/>
      <c r="AD73" s="98"/>
      <c r="AE73" s="98"/>
      <c r="AF73" s="98"/>
      <c r="AG73" s="98"/>
    </row>
    <row r="74" spans="1:33" s="129" customFormat="1" ht="40.5" customHeight="1" x14ac:dyDescent="0.25">
      <c r="A74" s="127"/>
      <c r="B74" s="130"/>
      <c r="C74" s="157" t="s">
        <v>225</v>
      </c>
      <c r="D74" s="154"/>
      <c r="E74" s="154"/>
      <c r="F74" s="154"/>
      <c r="G74" s="156"/>
      <c r="H74" s="158"/>
      <c r="I74" s="154"/>
      <c r="J74" s="154"/>
      <c r="K74" s="127"/>
      <c r="L74" s="96"/>
      <c r="M74" s="96"/>
      <c r="N74" s="96"/>
      <c r="O74" s="96"/>
      <c r="P74" s="96"/>
      <c r="Q74" s="128"/>
      <c r="R74" s="128"/>
      <c r="S74" s="128"/>
      <c r="T74" s="128"/>
      <c r="U74" s="128"/>
      <c r="V74" s="128"/>
      <c r="W74" s="128"/>
      <c r="X74" s="128"/>
      <c r="Y74" s="128"/>
      <c r="Z74" s="128"/>
      <c r="AA74" s="128"/>
      <c r="AB74" s="128"/>
      <c r="AC74" s="128"/>
      <c r="AD74" s="98"/>
      <c r="AE74" s="98"/>
      <c r="AF74" s="98"/>
      <c r="AG74" s="98"/>
    </row>
    <row r="75" spans="1:33" s="129" customFormat="1" ht="40.5" customHeight="1" x14ac:dyDescent="0.25">
      <c r="A75" s="127"/>
      <c r="B75" s="130"/>
      <c r="C75" s="159" t="s">
        <v>226</v>
      </c>
      <c r="D75" s="154"/>
      <c r="E75" s="154"/>
      <c r="F75" s="154"/>
      <c r="G75" s="156"/>
      <c r="H75" s="158"/>
      <c r="I75" s="154"/>
      <c r="J75" s="154"/>
      <c r="K75" s="127"/>
      <c r="L75" s="96"/>
      <c r="M75" s="96"/>
      <c r="N75" s="96"/>
      <c r="O75" s="96"/>
      <c r="P75" s="96"/>
      <c r="Q75" s="128"/>
      <c r="R75" s="128"/>
      <c r="S75" s="128"/>
      <c r="T75" s="128"/>
      <c r="U75" s="128"/>
      <c r="V75" s="128"/>
      <c r="W75" s="128"/>
      <c r="X75" s="128"/>
      <c r="Y75" s="128"/>
      <c r="Z75" s="128"/>
      <c r="AA75" s="128"/>
      <c r="AB75" s="128"/>
      <c r="AC75" s="128"/>
      <c r="AD75" s="98"/>
      <c r="AE75" s="98"/>
      <c r="AF75" s="98"/>
      <c r="AG75" s="98"/>
    </row>
    <row r="76" spans="1:33" s="129" customFormat="1" ht="40.5" customHeight="1" x14ac:dyDescent="0.25">
      <c r="A76" s="127"/>
      <c r="B76" s="130"/>
      <c r="C76" s="127"/>
      <c r="D76" s="127"/>
      <c r="E76" s="127"/>
      <c r="F76" s="127"/>
      <c r="G76" s="127"/>
      <c r="H76" s="127"/>
      <c r="I76" s="96"/>
      <c r="J76" s="127"/>
      <c r="K76" s="127"/>
      <c r="L76" s="96"/>
      <c r="M76" s="96"/>
      <c r="N76" s="96"/>
      <c r="O76" s="96"/>
      <c r="P76" s="96"/>
      <c r="Q76" s="128"/>
      <c r="R76" s="128"/>
      <c r="S76" s="128"/>
      <c r="T76" s="128"/>
      <c r="U76" s="128"/>
      <c r="V76" s="128"/>
      <c r="W76" s="128"/>
      <c r="X76" s="128"/>
      <c r="Y76" s="128"/>
      <c r="Z76" s="128"/>
      <c r="AA76" s="128"/>
      <c r="AB76" s="128"/>
      <c r="AC76" s="128"/>
      <c r="AD76" s="98"/>
      <c r="AE76" s="98"/>
      <c r="AF76" s="98"/>
      <c r="AG76" s="98"/>
    </row>
    <row r="77" spans="1:33" s="129" customFormat="1" ht="40.5" customHeight="1" x14ac:dyDescent="0.25">
      <c r="A77" s="127"/>
      <c r="B77" s="105" t="s">
        <v>227</v>
      </c>
      <c r="C77" s="127"/>
      <c r="D77" s="127"/>
      <c r="E77" s="127"/>
      <c r="F77" s="127"/>
      <c r="G77" s="127"/>
      <c r="H77" s="127"/>
      <c r="I77" s="96"/>
      <c r="J77" s="127"/>
      <c r="K77" s="127"/>
      <c r="L77" s="96"/>
      <c r="M77" s="96"/>
      <c r="N77" s="96"/>
      <c r="O77" s="96"/>
      <c r="P77" s="96"/>
      <c r="Q77" s="128"/>
      <c r="R77" s="105"/>
      <c r="S77" s="105"/>
      <c r="T77" s="128"/>
      <c r="U77" s="128"/>
      <c r="V77" s="128"/>
      <c r="W77" s="128"/>
      <c r="X77" s="128"/>
      <c r="Y77" s="128"/>
      <c r="Z77" s="128"/>
      <c r="AA77" s="128"/>
      <c r="AB77" s="128"/>
      <c r="AC77" s="128"/>
      <c r="AD77" s="98"/>
      <c r="AE77" s="98"/>
      <c r="AF77" s="98"/>
      <c r="AG77" s="98"/>
    </row>
    <row r="78" spans="1:33" s="129" customFormat="1" ht="40.5" customHeight="1" x14ac:dyDescent="0.2">
      <c r="A78" s="127"/>
      <c r="B78" s="160" t="s">
        <v>228</v>
      </c>
      <c r="C78" s="160" t="s">
        <v>229</v>
      </c>
      <c r="D78" s="160" t="s">
        <v>230</v>
      </c>
      <c r="E78" s="160" t="s">
        <v>231</v>
      </c>
      <c r="F78" s="160" t="s">
        <v>232</v>
      </c>
      <c r="G78" s="160" t="s">
        <v>233</v>
      </c>
      <c r="H78" s="160" t="s">
        <v>234</v>
      </c>
      <c r="I78" s="160" t="s">
        <v>235</v>
      </c>
      <c r="J78" s="160" t="s">
        <v>236</v>
      </c>
      <c r="K78" s="160" t="s">
        <v>237</v>
      </c>
      <c r="L78" s="160" t="s">
        <v>238</v>
      </c>
      <c r="M78" s="160" t="s">
        <v>239</v>
      </c>
      <c r="N78" s="160" t="s">
        <v>240</v>
      </c>
      <c r="O78" s="160" t="s">
        <v>241</v>
      </c>
      <c r="P78" s="160" t="s">
        <v>242</v>
      </c>
      <c r="Q78" s="160" t="s">
        <v>243</v>
      </c>
      <c r="R78" s="160" t="s">
        <v>244</v>
      </c>
      <c r="S78" s="160" t="s">
        <v>245</v>
      </c>
      <c r="T78" s="160" t="s">
        <v>246</v>
      </c>
      <c r="U78" s="160" t="s">
        <v>247</v>
      </c>
      <c r="V78" s="160"/>
      <c r="W78" s="160"/>
      <c r="X78" s="160"/>
      <c r="Y78" s="160"/>
      <c r="Z78" s="160"/>
      <c r="AA78" s="160"/>
      <c r="AB78" s="128"/>
      <c r="AC78" s="128"/>
      <c r="AD78" s="98"/>
      <c r="AE78" s="98"/>
      <c r="AF78" s="98"/>
      <c r="AG78" s="98"/>
    </row>
    <row r="79" spans="1:33" s="129" customFormat="1" ht="40.5" customHeight="1" x14ac:dyDescent="0.25">
      <c r="A79" s="127"/>
      <c r="B79" s="105"/>
      <c r="C79" s="127"/>
      <c r="D79" s="127"/>
      <c r="E79" s="127"/>
      <c r="F79" s="127"/>
      <c r="G79" s="127"/>
      <c r="H79" s="127"/>
      <c r="I79" s="96"/>
      <c r="J79" s="127"/>
      <c r="K79" s="127"/>
      <c r="L79" s="96"/>
      <c r="M79" s="96"/>
      <c r="N79" s="96"/>
      <c r="O79" s="96"/>
      <c r="P79" s="96"/>
      <c r="Q79" s="128"/>
      <c r="R79" s="105"/>
      <c r="S79" s="161"/>
      <c r="T79" s="160"/>
      <c r="U79" s="160"/>
      <c r="V79" s="160"/>
      <c r="W79" s="160"/>
      <c r="X79" s="160"/>
      <c r="Y79" s="160"/>
      <c r="Z79" s="160"/>
      <c r="AA79" s="160"/>
      <c r="AB79" s="128"/>
      <c r="AC79" s="128"/>
      <c r="AD79" s="98"/>
      <c r="AE79" s="98"/>
      <c r="AF79" s="98"/>
      <c r="AG79" s="98"/>
    </row>
    <row r="80" spans="1:33" s="129" customFormat="1" ht="40.5" customHeight="1" x14ac:dyDescent="0.25">
      <c r="A80" s="127"/>
      <c r="B80" s="130"/>
      <c r="C80" s="162" t="s">
        <v>248</v>
      </c>
      <c r="D80" s="163"/>
      <c r="E80" s="128"/>
      <c r="F80" s="164" t="s">
        <v>249</v>
      </c>
      <c r="G80" s="165"/>
      <c r="H80" s="165"/>
      <c r="I80" s="165"/>
      <c r="J80" s="165"/>
      <c r="K80" s="165"/>
      <c r="L80" s="165"/>
      <c r="M80" s="128"/>
      <c r="N80" s="128"/>
      <c r="O80" s="96"/>
      <c r="P80" s="96"/>
      <c r="Q80" s="128"/>
      <c r="R80" s="128"/>
      <c r="S80" s="161"/>
      <c r="T80" s="160"/>
      <c r="U80" s="160"/>
      <c r="V80" s="160"/>
      <c r="W80" s="160"/>
      <c r="X80" s="160"/>
      <c r="Y80" s="160"/>
      <c r="Z80" s="160"/>
      <c r="AA80" s="160"/>
      <c r="AB80" s="128"/>
      <c r="AC80" s="128"/>
      <c r="AD80" s="98"/>
      <c r="AE80" s="98"/>
      <c r="AF80" s="98"/>
      <c r="AG80" s="98"/>
    </row>
    <row r="81" spans="1:33" s="129" customFormat="1" ht="40.5" customHeight="1" x14ac:dyDescent="0.25">
      <c r="A81" s="127"/>
      <c r="B81" s="130"/>
      <c r="C81" s="166">
        <v>3</v>
      </c>
      <c r="D81" s="163"/>
      <c r="E81" s="127"/>
      <c r="F81" s="127"/>
      <c r="G81" s="127"/>
      <c r="H81" s="96"/>
      <c r="I81" s="96"/>
      <c r="J81" s="96"/>
      <c r="K81" s="96"/>
      <c r="L81" s="96"/>
      <c r="M81" s="96"/>
      <c r="N81" s="96"/>
      <c r="O81" s="96"/>
      <c r="P81" s="96"/>
      <c r="Q81" s="128"/>
      <c r="R81" s="128"/>
      <c r="S81" s="161"/>
      <c r="T81" s="160"/>
      <c r="U81" s="160"/>
      <c r="V81" s="160"/>
      <c r="W81" s="160"/>
      <c r="X81" s="160"/>
      <c r="Y81" s="160"/>
      <c r="Z81" s="160"/>
      <c r="AA81" s="160"/>
      <c r="AB81" s="128"/>
      <c r="AC81" s="128"/>
      <c r="AD81" s="98"/>
      <c r="AE81" s="98"/>
      <c r="AF81" s="98"/>
      <c r="AG81" s="98"/>
    </row>
    <row r="82" spans="1:33" s="129" customFormat="1" ht="40.5" customHeight="1" x14ac:dyDescent="0.25">
      <c r="A82" s="127"/>
      <c r="B82" s="130"/>
      <c r="C82" s="127"/>
      <c r="D82" s="127"/>
      <c r="E82" s="127"/>
      <c r="F82" s="127"/>
      <c r="G82" s="127"/>
      <c r="H82" s="167" t="s">
        <v>250</v>
      </c>
      <c r="I82" s="168"/>
      <c r="J82" s="168"/>
      <c r="K82" s="127"/>
      <c r="L82" s="96"/>
      <c r="M82" s="96"/>
      <c r="N82" s="169" t="s">
        <v>110</v>
      </c>
      <c r="O82" s="170" t="s">
        <v>251</v>
      </c>
      <c r="P82" s="171" t="s">
        <v>252</v>
      </c>
      <c r="Q82" s="128"/>
      <c r="R82" s="128"/>
      <c r="S82" s="161"/>
      <c r="T82" s="160"/>
      <c r="U82" s="160"/>
      <c r="V82" s="160"/>
      <c r="W82" s="160"/>
      <c r="X82" s="160"/>
      <c r="Y82" s="160"/>
      <c r="Z82" s="160"/>
      <c r="AA82" s="160"/>
      <c r="AB82" s="128"/>
      <c r="AC82" s="128"/>
      <c r="AD82" s="98"/>
      <c r="AE82" s="98"/>
      <c r="AF82" s="98"/>
      <c r="AG82" s="98"/>
    </row>
    <row r="83" spans="1:33" s="129" customFormat="1" ht="40.5" customHeight="1" x14ac:dyDescent="0.2">
      <c r="A83" s="127"/>
      <c r="B83" s="130"/>
      <c r="C83" s="172" t="s">
        <v>253</v>
      </c>
      <c r="D83" s="127"/>
      <c r="E83" s="173"/>
      <c r="F83" s="127"/>
      <c r="G83" s="127"/>
      <c r="H83" s="174" t="s">
        <v>254</v>
      </c>
      <c r="I83" s="174" t="s">
        <v>255</v>
      </c>
      <c r="J83" s="174" t="s">
        <v>256</v>
      </c>
      <c r="K83" s="160" t="s">
        <v>257</v>
      </c>
      <c r="L83" s="128"/>
      <c r="M83" s="128"/>
      <c r="N83" s="172" t="s">
        <v>258</v>
      </c>
      <c r="O83" s="128"/>
      <c r="P83" s="128"/>
      <c r="Q83" s="128"/>
      <c r="R83" s="128"/>
      <c r="S83" s="161"/>
      <c r="T83" s="160"/>
      <c r="U83" s="160"/>
      <c r="V83" s="160"/>
      <c r="W83" s="160"/>
      <c r="X83" s="160"/>
      <c r="Y83" s="160"/>
      <c r="Z83" s="160"/>
      <c r="AA83" s="160"/>
      <c r="AB83" s="128"/>
      <c r="AC83" s="128"/>
      <c r="AD83" s="98"/>
      <c r="AE83" s="98"/>
      <c r="AF83" s="98"/>
      <c r="AG83" s="98"/>
    </row>
    <row r="84" spans="1:33" s="129" customFormat="1" ht="40.5" customHeight="1" x14ac:dyDescent="0.25">
      <c r="A84" s="127"/>
      <c r="B84" s="130"/>
      <c r="C84" s="172" t="s">
        <v>259</v>
      </c>
      <c r="D84" s="127"/>
      <c r="E84" s="173"/>
      <c r="F84" s="127"/>
      <c r="G84" s="127"/>
      <c r="H84" s="174" t="s">
        <v>260</v>
      </c>
      <c r="I84" s="174" t="s">
        <v>261</v>
      </c>
      <c r="J84" s="174" t="s">
        <v>262</v>
      </c>
      <c r="K84" s="160" t="s">
        <v>263</v>
      </c>
      <c r="L84" s="96"/>
      <c r="M84" s="96"/>
      <c r="N84" s="169" t="s">
        <v>111</v>
      </c>
      <c r="O84" s="170" t="s">
        <v>264</v>
      </c>
      <c r="P84" s="170" t="s">
        <v>265</v>
      </c>
      <c r="Q84" s="128"/>
      <c r="R84" s="128"/>
      <c r="S84" s="161"/>
      <c r="T84" s="160"/>
      <c r="U84" s="160"/>
      <c r="V84" s="160"/>
      <c r="W84" s="160"/>
      <c r="X84" s="160"/>
      <c r="Y84" s="160"/>
      <c r="Z84" s="160"/>
      <c r="AA84" s="160"/>
      <c r="AB84" s="128"/>
      <c r="AC84" s="128"/>
      <c r="AD84" s="98"/>
      <c r="AE84" s="98"/>
      <c r="AF84" s="98"/>
      <c r="AG84" s="98"/>
    </row>
    <row r="85" spans="1:33" s="129" customFormat="1" ht="40.5" customHeight="1" x14ac:dyDescent="0.2">
      <c r="A85" s="127"/>
      <c r="B85" s="130"/>
      <c r="C85" s="172"/>
      <c r="D85" s="127"/>
      <c r="E85" s="172"/>
      <c r="F85" s="175"/>
      <c r="G85" s="172"/>
      <c r="H85" s="172"/>
      <c r="I85" s="127"/>
      <c r="J85" s="127"/>
      <c r="K85" s="127"/>
      <c r="L85" s="127"/>
      <c r="M85" s="127"/>
      <c r="N85" s="127"/>
      <c r="O85" s="127"/>
      <c r="P85" s="128"/>
      <c r="Q85" s="128"/>
      <c r="R85" s="128"/>
      <c r="S85" s="161"/>
      <c r="T85" s="160"/>
      <c r="U85" s="160"/>
      <c r="V85" s="160"/>
      <c r="W85" s="160"/>
      <c r="X85" s="160"/>
      <c r="Y85" s="160"/>
      <c r="Z85" s="160"/>
      <c r="AA85" s="160"/>
      <c r="AB85" s="128"/>
      <c r="AC85" s="128"/>
      <c r="AD85" s="98"/>
      <c r="AE85" s="98"/>
      <c r="AF85" s="98"/>
      <c r="AG85" s="98"/>
    </row>
    <row r="86" spans="1:33" s="182" customFormat="1" ht="44.25" customHeight="1" x14ac:dyDescent="0.35">
      <c r="A86" s="176"/>
      <c r="B86" s="177"/>
      <c r="C86" s="178"/>
      <c r="D86" s="179"/>
      <c r="E86" s="179"/>
      <c r="F86" s="180"/>
      <c r="G86" s="180"/>
      <c r="H86" s="180"/>
      <c r="I86" s="180"/>
      <c r="J86" s="181"/>
      <c r="K86" s="178"/>
      <c r="L86" s="178"/>
      <c r="M86" s="178"/>
      <c r="N86" s="178"/>
      <c r="O86" s="178"/>
      <c r="P86" s="178"/>
      <c r="Q86" s="178"/>
      <c r="R86" s="178"/>
      <c r="S86" s="178"/>
      <c r="T86" s="178"/>
      <c r="U86" s="178"/>
      <c r="V86" s="178"/>
      <c r="W86" s="178"/>
      <c r="X86" s="178"/>
      <c r="Y86" s="178"/>
      <c r="Z86" s="178"/>
      <c r="AA86" s="178"/>
      <c r="AB86" s="178"/>
      <c r="AC86" s="178"/>
      <c r="AD86" s="98"/>
      <c r="AE86" s="98"/>
      <c r="AF86" s="98"/>
      <c r="AG86" s="98"/>
    </row>
    <row r="87" spans="1:33" s="129" customFormat="1" ht="39.950000000000003" customHeight="1" x14ac:dyDescent="0.25">
      <c r="A87" s="127"/>
      <c r="B87" s="183"/>
      <c r="C87" s="184"/>
      <c r="D87" s="185"/>
      <c r="E87" s="185"/>
      <c r="F87" s="185"/>
      <c r="G87" s="185"/>
      <c r="H87" s="185"/>
      <c r="I87" s="185"/>
      <c r="J87" s="185"/>
      <c r="K87" s="185"/>
      <c r="L87" s="96"/>
      <c r="M87" s="96"/>
      <c r="N87" s="96"/>
      <c r="O87" s="96"/>
      <c r="P87" s="96"/>
      <c r="Q87" s="128"/>
      <c r="R87" s="128"/>
      <c r="S87" s="128"/>
      <c r="T87" s="128"/>
      <c r="U87" s="128"/>
      <c r="V87" s="128"/>
      <c r="W87" s="128"/>
      <c r="X87" s="128"/>
      <c r="Y87" s="128"/>
      <c r="Z87" s="128"/>
      <c r="AA87" s="128"/>
      <c r="AB87" s="128"/>
      <c r="AC87" s="128"/>
      <c r="AD87" s="98"/>
      <c r="AE87" s="98"/>
      <c r="AF87" s="98"/>
      <c r="AG87" s="98"/>
    </row>
    <row r="88" spans="1:33" s="182" customFormat="1" ht="39.950000000000003" customHeight="1" x14ac:dyDescent="0.2">
      <c r="A88" s="127"/>
      <c r="B88" s="183"/>
      <c r="C88" s="186" t="s">
        <v>266</v>
      </c>
      <c r="D88" s="187" t="s">
        <v>267</v>
      </c>
      <c r="E88" s="187"/>
      <c r="F88" s="187"/>
      <c r="G88" s="187"/>
      <c r="H88" s="187"/>
      <c r="I88" s="187"/>
      <c r="J88" s="187"/>
      <c r="K88" s="187"/>
      <c r="L88" s="187"/>
      <c r="M88" s="187"/>
      <c r="N88" s="128"/>
      <c r="O88" s="128"/>
      <c r="P88" s="128"/>
      <c r="Q88" s="128"/>
      <c r="R88" s="128"/>
      <c r="S88" s="128"/>
      <c r="T88" s="128"/>
      <c r="U88" s="128"/>
      <c r="V88" s="128"/>
      <c r="W88" s="128"/>
      <c r="X88" s="128"/>
      <c r="Y88" s="128"/>
      <c r="Z88" s="128"/>
      <c r="AA88" s="128"/>
      <c r="AB88" s="128"/>
      <c r="AC88" s="128"/>
      <c r="AD88" s="98"/>
      <c r="AE88" s="98"/>
      <c r="AF88" s="98"/>
      <c r="AG88" s="98"/>
    </row>
    <row r="89" spans="1:33" s="182" customFormat="1" ht="39.950000000000003" customHeight="1" x14ac:dyDescent="0.2">
      <c r="A89" s="127"/>
      <c r="B89" s="183"/>
      <c r="C89" s="188" t="s">
        <v>268</v>
      </c>
      <c r="D89" s="18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98"/>
      <c r="AE89" s="98"/>
      <c r="AF89" s="98"/>
      <c r="AG89" s="98"/>
    </row>
    <row r="90" spans="1:33" s="182" customFormat="1" ht="39.950000000000003" customHeight="1" x14ac:dyDescent="0.2">
      <c r="A90" s="127"/>
      <c r="B90" s="183"/>
      <c r="C90" s="188" t="s">
        <v>269</v>
      </c>
      <c r="D90" s="18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98"/>
      <c r="AE90" s="98"/>
      <c r="AF90" s="98"/>
      <c r="AG90" s="98"/>
    </row>
    <row r="91" spans="1:33" s="182" customFormat="1" ht="39.950000000000003" customHeight="1" x14ac:dyDescent="0.2">
      <c r="A91" s="127"/>
      <c r="B91" s="183"/>
      <c r="C91" s="189" t="s">
        <v>270</v>
      </c>
      <c r="D91" s="190" t="s">
        <v>271</v>
      </c>
      <c r="E91" s="191"/>
      <c r="F91" s="192"/>
      <c r="G91" s="191"/>
      <c r="H91" s="191"/>
      <c r="I91" s="191"/>
      <c r="J91" s="191"/>
      <c r="K91" s="193"/>
      <c r="L91" s="193"/>
      <c r="M91" s="194"/>
      <c r="N91" s="195" t="s">
        <v>272</v>
      </c>
      <c r="O91" s="195"/>
      <c r="P91" s="196"/>
      <c r="Q91" s="196"/>
      <c r="R91" s="196"/>
      <c r="S91" s="196"/>
      <c r="T91" s="196"/>
      <c r="U91" s="196"/>
      <c r="V91" s="197"/>
      <c r="W91" s="103"/>
      <c r="X91" s="103"/>
      <c r="Y91" s="103"/>
      <c r="Z91" s="103"/>
      <c r="AA91" s="103"/>
      <c r="AB91" s="103"/>
      <c r="AC91" s="103"/>
      <c r="AD91" s="98"/>
      <c r="AE91" s="98"/>
      <c r="AF91" s="98"/>
      <c r="AG91" s="98"/>
    </row>
    <row r="92" spans="1:33" s="182" customFormat="1" ht="39.950000000000003" customHeight="1" x14ac:dyDescent="0.35">
      <c r="A92" s="127"/>
      <c r="B92" s="183"/>
      <c r="C92" s="189"/>
      <c r="D92" s="190" t="s">
        <v>273</v>
      </c>
      <c r="E92" s="198"/>
      <c r="F92" s="198"/>
      <c r="G92" s="198"/>
      <c r="H92" s="198"/>
      <c r="I92" s="198"/>
      <c r="J92" s="198"/>
      <c r="K92" s="194"/>
      <c r="L92" s="194"/>
      <c r="M92" s="194"/>
      <c r="N92" s="199"/>
      <c r="O92" s="199"/>
      <c r="P92" s="197"/>
      <c r="Q92" s="197"/>
      <c r="R92" s="197"/>
      <c r="S92" s="197"/>
      <c r="T92" s="197"/>
      <c r="U92" s="197"/>
      <c r="V92" s="197"/>
      <c r="W92" s="103"/>
      <c r="X92" s="103"/>
      <c r="Y92" s="103"/>
      <c r="Z92" s="103"/>
      <c r="AA92" s="103"/>
      <c r="AB92" s="103"/>
      <c r="AC92" s="103"/>
      <c r="AD92" s="98"/>
      <c r="AE92" s="98"/>
      <c r="AF92" s="98"/>
      <c r="AG92" s="98"/>
    </row>
    <row r="93" spans="1:33" s="182" customFormat="1" ht="39.950000000000003" customHeight="1" x14ac:dyDescent="0.2">
      <c r="A93" s="127"/>
      <c r="B93" s="183"/>
      <c r="C93" s="189"/>
      <c r="D93" s="190" t="s">
        <v>274</v>
      </c>
      <c r="E93" s="191"/>
      <c r="F93" s="191"/>
      <c r="G93" s="191"/>
      <c r="H93" s="191"/>
      <c r="I93" s="198"/>
      <c r="J93" s="191"/>
      <c r="K93" s="193"/>
      <c r="L93" s="193"/>
      <c r="M93" s="193"/>
      <c r="N93" s="195" t="s">
        <v>275</v>
      </c>
      <c r="O93" s="195"/>
      <c r="P93" s="196"/>
      <c r="Q93" s="196"/>
      <c r="R93" s="196"/>
      <c r="S93" s="196"/>
      <c r="T93" s="196"/>
      <c r="U93" s="196"/>
      <c r="V93" s="197"/>
      <c r="W93" s="103"/>
      <c r="X93" s="103"/>
      <c r="Y93" s="103"/>
      <c r="Z93" s="103"/>
      <c r="AA93" s="103"/>
      <c r="AB93" s="103"/>
      <c r="AC93" s="103"/>
      <c r="AD93" s="98"/>
      <c r="AE93" s="98"/>
      <c r="AF93" s="98"/>
      <c r="AG93" s="98"/>
    </row>
    <row r="94" spans="1:33" s="182" customFormat="1" ht="39.950000000000003" customHeight="1" x14ac:dyDescent="0.2">
      <c r="A94" s="127"/>
      <c r="B94" s="183"/>
      <c r="C94" s="189"/>
      <c r="D94" s="190" t="s">
        <v>276</v>
      </c>
      <c r="E94" s="198"/>
      <c r="F94" s="191"/>
      <c r="G94" s="191"/>
      <c r="H94" s="191"/>
      <c r="I94" s="191"/>
      <c r="J94" s="191"/>
      <c r="K94" s="193"/>
      <c r="L94" s="193"/>
      <c r="M94" s="193"/>
      <c r="N94" s="195" t="s">
        <v>277</v>
      </c>
      <c r="O94" s="195"/>
      <c r="P94" s="196"/>
      <c r="Q94" s="196"/>
      <c r="R94" s="196"/>
      <c r="S94" s="196"/>
      <c r="T94" s="196"/>
      <c r="U94" s="196"/>
      <c r="V94" s="197"/>
      <c r="W94" s="103"/>
      <c r="X94" s="103"/>
      <c r="Y94" s="103"/>
      <c r="Z94" s="103"/>
      <c r="AA94" s="103"/>
      <c r="AB94" s="103"/>
      <c r="AC94" s="103"/>
      <c r="AD94" s="98"/>
      <c r="AE94" s="98"/>
      <c r="AF94" s="98"/>
      <c r="AG94" s="98"/>
    </row>
    <row r="95" spans="1:33" s="182" customFormat="1" ht="39.950000000000003" customHeight="1" x14ac:dyDescent="0.2">
      <c r="A95" s="127"/>
      <c r="B95" s="183"/>
      <c r="C95" s="189"/>
      <c r="D95" s="190" t="s">
        <v>278</v>
      </c>
      <c r="E95" s="191"/>
      <c r="F95" s="191"/>
      <c r="G95" s="191"/>
      <c r="H95" s="198"/>
      <c r="I95" s="191"/>
      <c r="J95" s="191"/>
      <c r="K95" s="193"/>
      <c r="L95" s="193"/>
      <c r="M95" s="193"/>
      <c r="N95" s="195" t="s">
        <v>279</v>
      </c>
      <c r="O95" s="195"/>
      <c r="P95" s="196"/>
      <c r="Q95" s="196"/>
      <c r="R95" s="196"/>
      <c r="S95" s="196"/>
      <c r="T95" s="196"/>
      <c r="U95" s="196"/>
      <c r="V95" s="197"/>
      <c r="W95" s="103"/>
      <c r="X95" s="103"/>
      <c r="Y95" s="103"/>
      <c r="Z95" s="103"/>
      <c r="AA95" s="103"/>
      <c r="AB95" s="103"/>
      <c r="AC95" s="103"/>
      <c r="AD95" s="98"/>
      <c r="AE95" s="98"/>
      <c r="AF95" s="98"/>
      <c r="AG95" s="98"/>
    </row>
    <row r="96" spans="1:33" s="182" customFormat="1" ht="39.950000000000003" customHeight="1" x14ac:dyDescent="0.2">
      <c r="A96" s="127"/>
      <c r="B96" s="183"/>
      <c r="C96" s="189"/>
      <c r="D96" s="190" t="s">
        <v>280</v>
      </c>
      <c r="E96" s="198"/>
      <c r="F96" s="191"/>
      <c r="G96" s="191"/>
      <c r="H96" s="191"/>
      <c r="I96" s="191"/>
      <c r="J96" s="191"/>
      <c r="K96" s="193"/>
      <c r="L96" s="193"/>
      <c r="M96" s="193"/>
      <c r="N96" s="195" t="s">
        <v>281</v>
      </c>
      <c r="O96" s="195"/>
      <c r="P96" s="196"/>
      <c r="Q96" s="196"/>
      <c r="R96" s="196"/>
      <c r="S96" s="196"/>
      <c r="T96" s="196"/>
      <c r="U96" s="196"/>
      <c r="V96" s="197"/>
      <c r="W96" s="103"/>
      <c r="X96" s="103"/>
      <c r="Y96" s="103"/>
      <c r="Z96" s="103"/>
      <c r="AA96" s="103"/>
      <c r="AB96" s="103"/>
      <c r="AC96" s="103"/>
      <c r="AD96" s="98"/>
      <c r="AE96" s="98"/>
      <c r="AF96" s="98"/>
      <c r="AG96" s="98"/>
    </row>
    <row r="97" spans="1:33" s="182" customFormat="1" ht="39.950000000000003" customHeight="1" x14ac:dyDescent="0.2">
      <c r="A97" s="127"/>
      <c r="B97" s="183"/>
      <c r="C97" s="189"/>
      <c r="D97" s="200" t="s">
        <v>282</v>
      </c>
      <c r="E97" s="191"/>
      <c r="F97" s="191"/>
      <c r="G97" s="198"/>
      <c r="H97" s="191"/>
      <c r="I97" s="201"/>
      <c r="J97" s="191"/>
      <c r="K97" s="193"/>
      <c r="L97" s="193"/>
      <c r="M97" s="193"/>
      <c r="N97" s="195" t="s">
        <v>283</v>
      </c>
      <c r="O97" s="195"/>
      <c r="P97" s="196"/>
      <c r="Q97" s="196"/>
      <c r="R97" s="196"/>
      <c r="S97" s="196"/>
      <c r="T97" s="196"/>
      <c r="U97" s="196"/>
      <c r="V97" s="197"/>
      <c r="W97" s="103"/>
      <c r="X97" s="103"/>
      <c r="Y97" s="103"/>
      <c r="Z97" s="103"/>
      <c r="AA97" s="103"/>
      <c r="AB97" s="103"/>
      <c r="AC97" s="103"/>
      <c r="AD97" s="98"/>
      <c r="AE97" s="98"/>
      <c r="AF97" s="98"/>
      <c r="AG97" s="98"/>
    </row>
    <row r="98" spans="1:33" s="182" customFormat="1" ht="39.950000000000003" customHeight="1" x14ac:dyDescent="0.2">
      <c r="A98" s="127"/>
      <c r="B98" s="183"/>
      <c r="C98" s="189"/>
      <c r="D98" s="190" t="s">
        <v>284</v>
      </c>
      <c r="E98" s="198"/>
      <c r="F98" s="191"/>
      <c r="G98" s="191"/>
      <c r="H98" s="191"/>
      <c r="I98" s="191"/>
      <c r="J98" s="191"/>
      <c r="K98" s="193"/>
      <c r="L98" s="193"/>
      <c r="M98" s="193"/>
      <c r="N98" s="195" t="s">
        <v>285</v>
      </c>
      <c r="O98" s="195"/>
      <c r="P98" s="196"/>
      <c r="Q98" s="196"/>
      <c r="R98" s="196"/>
      <c r="S98" s="196"/>
      <c r="T98" s="196"/>
      <c r="U98" s="196"/>
      <c r="V98" s="197"/>
      <c r="W98" s="103"/>
      <c r="X98" s="103"/>
      <c r="Y98" s="103"/>
      <c r="Z98" s="103"/>
      <c r="AA98" s="103"/>
      <c r="AB98" s="103"/>
      <c r="AC98" s="103"/>
      <c r="AD98" s="98"/>
      <c r="AE98" s="98"/>
      <c r="AF98" s="98"/>
      <c r="AG98" s="98"/>
    </row>
    <row r="99" spans="1:33" s="182" customFormat="1" ht="39.950000000000003" customHeight="1" x14ac:dyDescent="0.2">
      <c r="A99" s="127"/>
      <c r="B99" s="183"/>
      <c r="C99" s="12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98"/>
      <c r="AE99" s="98"/>
      <c r="AF99" s="98"/>
      <c r="AG99" s="98"/>
    </row>
    <row r="100" spans="1:33" s="182" customFormat="1" ht="39.950000000000003" customHeight="1" x14ac:dyDescent="0.25">
      <c r="A100" s="127"/>
      <c r="B100" s="183"/>
      <c r="C100" s="202" t="s">
        <v>266</v>
      </c>
      <c r="D100" s="203" t="s">
        <v>286</v>
      </c>
      <c r="E100" s="204"/>
      <c r="F100" s="204"/>
      <c r="G100" s="204"/>
      <c r="H100" s="204"/>
      <c r="I100" s="204"/>
      <c r="J100" s="204"/>
      <c r="K100" s="204"/>
      <c r="L100" s="204"/>
      <c r="M100" s="204"/>
      <c r="N100" s="96"/>
      <c r="O100" s="96"/>
      <c r="P100" s="96"/>
      <c r="Q100" s="128"/>
      <c r="R100" s="128"/>
      <c r="S100" s="128"/>
      <c r="T100" s="128"/>
      <c r="U100" s="128"/>
      <c r="V100" s="128"/>
      <c r="W100" s="128"/>
      <c r="X100" s="128"/>
      <c r="Y100" s="128"/>
      <c r="Z100" s="128"/>
      <c r="AA100" s="128"/>
      <c r="AB100" s="128"/>
      <c r="AC100" s="128"/>
      <c r="AD100" s="98"/>
      <c r="AE100" s="98"/>
      <c r="AF100" s="98"/>
      <c r="AG100" s="98"/>
    </row>
    <row r="101" spans="1:33" s="182" customFormat="1" ht="39.950000000000003" customHeight="1" x14ac:dyDescent="0.25">
      <c r="A101" s="127"/>
      <c r="B101" s="183"/>
      <c r="C101" s="128"/>
      <c r="D101" s="205" t="s">
        <v>287</v>
      </c>
      <c r="E101" s="128"/>
      <c r="F101" s="128"/>
      <c r="G101" s="128"/>
      <c r="H101" s="128"/>
      <c r="I101" s="128"/>
      <c r="J101" s="128"/>
      <c r="K101" s="128"/>
      <c r="L101" s="128"/>
      <c r="M101" s="128"/>
      <c r="N101" s="96"/>
      <c r="O101" s="96"/>
      <c r="P101" s="96"/>
      <c r="Q101" s="128"/>
      <c r="R101" s="128"/>
      <c r="S101" s="128"/>
      <c r="T101" s="128"/>
      <c r="U101" s="128"/>
      <c r="V101" s="128"/>
      <c r="W101" s="128"/>
      <c r="X101" s="128"/>
      <c r="Y101" s="128"/>
      <c r="Z101" s="128"/>
      <c r="AA101" s="128"/>
      <c r="AB101" s="128"/>
      <c r="AC101" s="128"/>
      <c r="AD101" s="98"/>
      <c r="AE101" s="98"/>
      <c r="AF101" s="98"/>
      <c r="AG101" s="98"/>
    </row>
    <row r="102" spans="1:33" s="182" customFormat="1" ht="39.950000000000003" customHeight="1" x14ac:dyDescent="0.25">
      <c r="A102" s="127"/>
      <c r="B102" s="183"/>
      <c r="C102" s="206" t="s">
        <v>270</v>
      </c>
      <c r="D102" s="207" t="s">
        <v>288</v>
      </c>
      <c r="E102" s="208"/>
      <c r="F102" s="208"/>
      <c r="G102" s="208"/>
      <c r="H102" s="208"/>
      <c r="I102" s="208"/>
      <c r="J102" s="208"/>
      <c r="K102" s="208"/>
      <c r="L102" s="208"/>
      <c r="M102" s="208"/>
      <c r="N102" s="96"/>
      <c r="O102" s="96"/>
      <c r="P102" s="96"/>
      <c r="Q102" s="128"/>
      <c r="R102" s="128"/>
      <c r="S102" s="128"/>
      <c r="T102" s="128"/>
      <c r="U102" s="128"/>
      <c r="V102" s="128"/>
      <c r="W102" s="128"/>
      <c r="X102" s="128"/>
      <c r="Y102" s="128"/>
      <c r="Z102" s="128"/>
      <c r="AA102" s="128"/>
      <c r="AB102" s="128"/>
      <c r="AC102" s="128"/>
      <c r="AD102" s="98"/>
      <c r="AE102" s="98"/>
      <c r="AF102" s="98"/>
      <c r="AG102" s="98"/>
    </row>
    <row r="103" spans="1:33" s="182" customFormat="1" ht="39.950000000000003" customHeight="1" x14ac:dyDescent="0.25">
      <c r="A103" s="127"/>
      <c r="B103" s="183"/>
      <c r="C103" s="206"/>
      <c r="D103" s="207" t="s">
        <v>289</v>
      </c>
      <c r="E103" s="208"/>
      <c r="F103" s="208"/>
      <c r="G103" s="208"/>
      <c r="H103" s="208"/>
      <c r="I103" s="208"/>
      <c r="J103" s="208"/>
      <c r="K103" s="208"/>
      <c r="L103" s="208"/>
      <c r="M103" s="208"/>
      <c r="N103" s="96"/>
      <c r="O103" s="96"/>
      <c r="P103" s="96"/>
      <c r="Q103" s="128"/>
      <c r="R103" s="128"/>
      <c r="S103" s="128"/>
      <c r="T103" s="128"/>
      <c r="U103" s="128"/>
      <c r="V103" s="128"/>
      <c r="W103" s="128"/>
      <c r="X103" s="128"/>
      <c r="Y103" s="128"/>
      <c r="Z103" s="128"/>
      <c r="AA103" s="128"/>
      <c r="AB103" s="128"/>
      <c r="AC103" s="128"/>
      <c r="AD103" s="98"/>
      <c r="AE103" s="98"/>
      <c r="AF103" s="98"/>
      <c r="AG103" s="98"/>
    </row>
    <row r="104" spans="1:33" s="182" customFormat="1" ht="39.950000000000003" customHeight="1" x14ac:dyDescent="0.25">
      <c r="A104" s="127"/>
      <c r="B104" s="183"/>
      <c r="C104" s="206"/>
      <c r="D104" s="207" t="s">
        <v>290</v>
      </c>
      <c r="E104" s="208"/>
      <c r="F104" s="208"/>
      <c r="G104" s="208"/>
      <c r="H104" s="208"/>
      <c r="I104" s="208"/>
      <c r="J104" s="208"/>
      <c r="K104" s="208"/>
      <c r="L104" s="208"/>
      <c r="M104" s="208"/>
      <c r="N104" s="96"/>
      <c r="O104" s="96"/>
      <c r="P104" s="96"/>
      <c r="Q104" s="128"/>
      <c r="R104" s="128"/>
      <c r="S104" s="128"/>
      <c r="T104" s="128"/>
      <c r="U104" s="128"/>
      <c r="V104" s="128"/>
      <c r="W104" s="128"/>
      <c r="X104" s="128"/>
      <c r="Y104" s="128"/>
      <c r="Z104" s="128"/>
      <c r="AA104" s="128"/>
      <c r="AB104" s="128"/>
      <c r="AC104" s="128"/>
      <c r="AD104" s="98"/>
      <c r="AE104" s="98"/>
      <c r="AF104" s="98"/>
      <c r="AG104" s="98"/>
    </row>
    <row r="105" spans="1:33" s="182" customFormat="1" ht="39.950000000000003" customHeight="1" x14ac:dyDescent="0.25">
      <c r="A105" s="127"/>
      <c r="B105" s="183"/>
      <c r="C105" s="206"/>
      <c r="D105" s="207" t="s">
        <v>291</v>
      </c>
      <c r="E105" s="208"/>
      <c r="F105" s="208"/>
      <c r="G105" s="208"/>
      <c r="H105" s="208"/>
      <c r="I105" s="208"/>
      <c r="J105" s="208"/>
      <c r="K105" s="208"/>
      <c r="L105" s="208"/>
      <c r="M105" s="208"/>
      <c r="N105" s="96"/>
      <c r="O105" s="96"/>
      <c r="P105" s="96"/>
      <c r="Q105" s="128"/>
      <c r="R105" s="128"/>
      <c r="S105" s="128"/>
      <c r="T105" s="128"/>
      <c r="U105" s="128"/>
      <c r="V105" s="128"/>
      <c r="W105" s="128"/>
      <c r="X105" s="128"/>
      <c r="Y105" s="128"/>
      <c r="Z105" s="128"/>
      <c r="AA105" s="128"/>
      <c r="AB105" s="128"/>
      <c r="AC105" s="128"/>
      <c r="AD105" s="98"/>
      <c r="AE105" s="98"/>
      <c r="AF105" s="98"/>
      <c r="AG105" s="98"/>
    </row>
    <row r="106" spans="1:33" s="182" customFormat="1" ht="39.950000000000003" customHeight="1" x14ac:dyDescent="0.25">
      <c r="A106" s="127"/>
      <c r="B106" s="183"/>
      <c r="C106" s="206"/>
      <c r="D106" s="207" t="s">
        <v>292</v>
      </c>
      <c r="E106" s="208"/>
      <c r="F106" s="208"/>
      <c r="G106" s="208"/>
      <c r="H106" s="208"/>
      <c r="I106" s="208"/>
      <c r="J106" s="208"/>
      <c r="K106" s="208"/>
      <c r="L106" s="208"/>
      <c r="M106" s="208"/>
      <c r="N106" s="96"/>
      <c r="O106" s="96"/>
      <c r="P106" s="96"/>
      <c r="Q106" s="128"/>
      <c r="R106" s="128"/>
      <c r="S106" s="128"/>
      <c r="T106" s="128"/>
      <c r="U106" s="128"/>
      <c r="V106" s="128"/>
      <c r="W106" s="128"/>
      <c r="X106" s="128"/>
      <c r="Y106" s="128"/>
      <c r="Z106" s="128"/>
      <c r="AA106" s="128"/>
      <c r="AB106" s="128"/>
      <c r="AC106" s="128"/>
      <c r="AD106" s="98"/>
      <c r="AE106" s="98"/>
      <c r="AF106" s="98"/>
      <c r="AG106" s="98"/>
    </row>
    <row r="107" spans="1:33" s="182" customFormat="1" ht="39.950000000000003" customHeight="1" x14ac:dyDescent="0.25">
      <c r="A107" s="127"/>
      <c r="B107" s="183"/>
      <c r="C107" s="206"/>
      <c r="D107" s="207" t="s">
        <v>293</v>
      </c>
      <c r="E107" s="208"/>
      <c r="F107" s="208"/>
      <c r="G107" s="208"/>
      <c r="H107" s="208"/>
      <c r="I107" s="208"/>
      <c r="J107" s="208"/>
      <c r="K107" s="208"/>
      <c r="L107" s="208"/>
      <c r="M107" s="208"/>
      <c r="N107" s="96"/>
      <c r="O107" s="96"/>
      <c r="P107" s="96"/>
      <c r="Q107" s="128"/>
      <c r="R107" s="128"/>
      <c r="S107" s="128"/>
      <c r="T107" s="128"/>
      <c r="U107" s="128"/>
      <c r="V107" s="128"/>
      <c r="W107" s="128"/>
      <c r="X107" s="128"/>
      <c r="Y107" s="128"/>
      <c r="Z107" s="128"/>
      <c r="AA107" s="128"/>
      <c r="AB107" s="128"/>
      <c r="AC107" s="128"/>
      <c r="AD107" s="98"/>
      <c r="AE107" s="98"/>
      <c r="AF107" s="98"/>
      <c r="AG107" s="98"/>
    </row>
    <row r="108" spans="1:33" s="182" customFormat="1" ht="39.950000000000003" customHeight="1" x14ac:dyDescent="0.25">
      <c r="A108" s="127"/>
      <c r="B108" s="183"/>
      <c r="C108" s="206"/>
      <c r="D108" s="207" t="s">
        <v>294</v>
      </c>
      <c r="E108" s="208"/>
      <c r="F108" s="208"/>
      <c r="G108" s="208"/>
      <c r="H108" s="208"/>
      <c r="I108" s="208"/>
      <c r="J108" s="208"/>
      <c r="K108" s="208"/>
      <c r="L108" s="208"/>
      <c r="M108" s="208"/>
      <c r="N108" s="96"/>
      <c r="O108" s="96"/>
      <c r="P108" s="96"/>
      <c r="Q108" s="128"/>
      <c r="R108" s="128"/>
      <c r="S108" s="128"/>
      <c r="T108" s="128"/>
      <c r="U108" s="128"/>
      <c r="V108" s="128"/>
      <c r="W108" s="128"/>
      <c r="X108" s="128"/>
      <c r="Y108" s="128"/>
      <c r="Z108" s="128"/>
      <c r="AA108" s="128"/>
      <c r="AB108" s="128"/>
      <c r="AC108" s="128"/>
      <c r="AD108" s="98"/>
      <c r="AE108" s="98"/>
      <c r="AF108" s="98"/>
      <c r="AG108" s="98"/>
    </row>
    <row r="109" spans="1:33" s="129" customFormat="1" ht="36.75" customHeight="1" x14ac:dyDescent="0.25">
      <c r="A109" s="127"/>
      <c r="B109" s="183"/>
      <c r="C109" s="184"/>
      <c r="D109" s="185"/>
      <c r="E109" s="185"/>
      <c r="F109" s="185"/>
      <c r="G109" s="185"/>
      <c r="H109" s="185"/>
      <c r="I109" s="185"/>
      <c r="J109" s="185"/>
      <c r="K109" s="185"/>
      <c r="L109" s="96"/>
      <c r="M109" s="96"/>
      <c r="N109" s="96"/>
      <c r="O109" s="96"/>
      <c r="P109" s="96"/>
      <c r="Q109" s="128"/>
      <c r="R109" s="128"/>
      <c r="S109" s="128"/>
      <c r="T109" s="128"/>
      <c r="U109" s="128"/>
      <c r="V109" s="128"/>
      <c r="W109" s="128"/>
      <c r="X109" s="128"/>
      <c r="Y109" s="128"/>
      <c r="Z109" s="128"/>
      <c r="AA109" s="128"/>
      <c r="AB109" s="128"/>
      <c r="AC109" s="128"/>
      <c r="AD109" s="98"/>
      <c r="AE109" s="98"/>
      <c r="AF109" s="98"/>
      <c r="AG109" s="98"/>
    </row>
    <row r="110" spans="1:33" s="182" customFormat="1" ht="36.75" customHeight="1" x14ac:dyDescent="0.35">
      <c r="A110" s="209"/>
      <c r="B110" s="210"/>
      <c r="C110" s="206" t="s">
        <v>295</v>
      </c>
      <c r="D110" s="207" t="s">
        <v>296</v>
      </c>
      <c r="E110" s="208"/>
      <c r="F110" s="208"/>
      <c r="G110" s="208"/>
      <c r="H110" s="208"/>
      <c r="I110" s="208"/>
      <c r="J110" s="208"/>
      <c r="K110" s="208"/>
      <c r="L110" s="208"/>
      <c r="M110" s="208"/>
      <c r="N110" s="211" t="s">
        <v>297</v>
      </c>
      <c r="O110" s="96"/>
      <c r="P110" s="96"/>
      <c r="Q110" s="211"/>
      <c r="R110" s="212"/>
      <c r="S110" s="212"/>
      <c r="T110" s="212"/>
      <c r="U110" s="212"/>
      <c r="V110" s="212"/>
      <c r="W110" s="212"/>
      <c r="X110" s="212"/>
      <c r="Y110" s="213"/>
      <c r="Z110" s="212"/>
      <c r="AA110" s="213"/>
      <c r="AB110" s="128"/>
      <c r="AC110" s="128"/>
    </row>
    <row r="111" spans="1:33" s="182" customFormat="1" ht="36.75" customHeight="1" x14ac:dyDescent="0.35">
      <c r="A111" s="209"/>
      <c r="B111" s="210"/>
      <c r="C111" s="206"/>
      <c r="D111" s="207" t="s">
        <v>298</v>
      </c>
      <c r="E111" s="208"/>
      <c r="F111" s="208"/>
      <c r="G111" s="208"/>
      <c r="H111" s="208"/>
      <c r="I111" s="208"/>
      <c r="J111" s="198"/>
      <c r="K111" s="214"/>
      <c r="L111" s="215"/>
      <c r="M111" s="215"/>
      <c r="N111" s="216" t="s">
        <v>299</v>
      </c>
      <c r="O111" s="96"/>
      <c r="P111" s="96"/>
      <c r="Q111" s="216"/>
      <c r="R111" s="212"/>
      <c r="S111" s="212"/>
      <c r="T111" s="212"/>
      <c r="U111" s="212"/>
      <c r="V111" s="212"/>
      <c r="W111" s="212"/>
      <c r="X111" s="212"/>
      <c r="Y111" s="213"/>
      <c r="Z111" s="212"/>
      <c r="AA111" s="213"/>
      <c r="AB111" s="128"/>
      <c r="AC111" s="128"/>
    </row>
    <row r="112" spans="1:33" s="182" customFormat="1" ht="36.75" customHeight="1" x14ac:dyDescent="0.35">
      <c r="A112" s="209"/>
      <c r="B112" s="210"/>
      <c r="C112" s="206"/>
      <c r="D112" s="207" t="s">
        <v>300</v>
      </c>
      <c r="E112" s="208"/>
      <c r="F112" s="208"/>
      <c r="G112" s="198"/>
      <c r="H112" s="217"/>
      <c r="I112" s="198"/>
      <c r="J112" s="217"/>
      <c r="K112" s="214"/>
      <c r="L112" s="215"/>
      <c r="M112" s="215"/>
      <c r="N112" s="216" t="s">
        <v>301</v>
      </c>
      <c r="O112" s="96"/>
      <c r="P112" s="96"/>
      <c r="Q112" s="216"/>
      <c r="R112" s="212"/>
      <c r="S112" s="212"/>
      <c r="T112" s="212"/>
      <c r="U112" s="212"/>
      <c r="V112" s="212"/>
      <c r="W112" s="212"/>
      <c r="X112" s="212"/>
      <c r="Y112" s="213"/>
      <c r="Z112" s="212"/>
      <c r="AA112" s="213"/>
      <c r="AB112" s="128"/>
      <c r="AC112" s="128"/>
    </row>
    <row r="113" spans="1:44" s="182" customFormat="1" ht="36.75" customHeight="1" x14ac:dyDescent="0.35">
      <c r="A113" s="209"/>
      <c r="B113" s="210"/>
      <c r="C113" s="206"/>
      <c r="D113" s="207" t="s">
        <v>302</v>
      </c>
      <c r="E113" s="208"/>
      <c r="F113" s="208"/>
      <c r="G113" s="208"/>
      <c r="H113" s="208"/>
      <c r="I113" s="208"/>
      <c r="J113" s="218"/>
      <c r="K113" s="215"/>
      <c r="L113" s="215"/>
      <c r="M113" s="215"/>
      <c r="N113" s="96"/>
      <c r="O113" s="96"/>
      <c r="P113" s="96"/>
      <c r="Q113" s="211"/>
      <c r="R113" s="212"/>
      <c r="S113" s="212"/>
      <c r="T113" s="212"/>
      <c r="U113" s="212"/>
      <c r="V113" s="212"/>
      <c r="W113" s="212"/>
      <c r="X113" s="212"/>
      <c r="Y113" s="213"/>
      <c r="Z113" s="212"/>
      <c r="AA113" s="213"/>
      <c r="AB113" s="128"/>
      <c r="AC113" s="128"/>
    </row>
    <row r="114" spans="1:44" s="182" customFormat="1" ht="36.75" customHeight="1" x14ac:dyDescent="0.35">
      <c r="A114" s="209"/>
      <c r="B114" s="210"/>
      <c r="C114" s="206"/>
      <c r="D114" s="207" t="s">
        <v>303</v>
      </c>
      <c r="E114" s="208"/>
      <c r="F114" s="208"/>
      <c r="G114" s="208"/>
      <c r="H114" s="208"/>
      <c r="I114" s="208"/>
      <c r="J114" s="208"/>
      <c r="K114" s="208"/>
      <c r="L114" s="208"/>
      <c r="M114" s="219"/>
      <c r="N114" s="96"/>
      <c r="O114" s="96"/>
      <c r="P114" s="96"/>
      <c r="Q114" s="211"/>
      <c r="R114" s="212"/>
      <c r="S114" s="212"/>
      <c r="T114" s="212"/>
      <c r="U114" s="212"/>
      <c r="V114" s="212"/>
      <c r="W114" s="212"/>
      <c r="X114" s="212"/>
      <c r="Y114" s="213"/>
      <c r="Z114" s="212"/>
      <c r="AA114" s="213"/>
      <c r="AB114" s="128"/>
      <c r="AC114" s="128"/>
    </row>
    <row r="115" spans="1:44" s="129" customFormat="1" ht="36.75" customHeight="1" x14ac:dyDescent="0.25">
      <c r="A115" s="127"/>
      <c r="B115" s="183"/>
      <c r="C115" s="206"/>
      <c r="D115" s="207" t="s">
        <v>774</v>
      </c>
      <c r="E115" s="208"/>
      <c r="F115" s="208"/>
      <c r="G115" s="208"/>
      <c r="H115" s="208"/>
      <c r="I115" s="208"/>
      <c r="J115" s="208"/>
      <c r="K115" s="208"/>
      <c r="L115" s="208"/>
      <c r="M115" s="219"/>
      <c r="N115" s="96"/>
      <c r="O115" s="96"/>
      <c r="P115" s="96"/>
      <c r="Q115" s="128"/>
      <c r="R115" s="128"/>
      <c r="S115" s="128"/>
      <c r="T115" s="128"/>
      <c r="U115" s="128"/>
      <c r="V115" s="128"/>
      <c r="W115" s="128"/>
      <c r="X115" s="128"/>
      <c r="Y115" s="128"/>
      <c r="Z115" s="128"/>
      <c r="AA115" s="128"/>
      <c r="AB115" s="128"/>
      <c r="AC115" s="128"/>
      <c r="AD115" s="98"/>
      <c r="AE115" s="98"/>
      <c r="AF115" s="98"/>
      <c r="AG115" s="98"/>
    </row>
    <row r="116" spans="1:44" s="129" customFormat="1" ht="36.75" customHeight="1" x14ac:dyDescent="0.25">
      <c r="A116" s="127"/>
      <c r="B116" s="183"/>
      <c r="C116" s="206"/>
      <c r="D116" s="207" t="s">
        <v>773</v>
      </c>
      <c r="E116" s="208"/>
      <c r="F116" s="208"/>
      <c r="G116" s="208"/>
      <c r="H116" s="208"/>
      <c r="I116" s="208"/>
      <c r="J116" s="208"/>
      <c r="K116" s="208"/>
      <c r="L116" s="208"/>
      <c r="M116" s="219"/>
      <c r="N116" s="96"/>
      <c r="O116" s="96"/>
      <c r="P116" s="96"/>
      <c r="Q116" s="128"/>
      <c r="R116" s="128"/>
      <c r="S116" s="128"/>
      <c r="T116" s="128"/>
      <c r="U116" s="128"/>
      <c r="V116" s="128"/>
      <c r="W116" s="128"/>
      <c r="X116" s="128"/>
      <c r="Y116" s="128"/>
      <c r="Z116" s="128"/>
      <c r="AA116" s="128"/>
      <c r="AB116" s="128"/>
      <c r="AC116" s="128"/>
      <c r="AD116" s="98"/>
      <c r="AE116" s="98"/>
      <c r="AF116" s="98"/>
      <c r="AG116" s="98"/>
    </row>
    <row r="117" spans="1:44" s="182" customFormat="1" ht="39.950000000000003" customHeight="1" x14ac:dyDescent="0.2">
      <c r="A117" s="127"/>
      <c r="B117" s="220" t="s">
        <v>304</v>
      </c>
      <c r="C117" s="127"/>
      <c r="D117" s="127"/>
      <c r="E117" s="127"/>
      <c r="F117" s="127"/>
      <c r="G117" s="127"/>
      <c r="H117" s="127"/>
      <c r="I117" s="127"/>
      <c r="J117" s="127"/>
      <c r="K117" s="127"/>
      <c r="L117" s="127"/>
      <c r="M117" s="127"/>
      <c r="N117" s="127"/>
      <c r="O117" s="127"/>
      <c r="P117" s="127"/>
      <c r="Q117" s="127"/>
      <c r="R117" s="127"/>
      <c r="S117" s="128"/>
      <c r="T117" s="128"/>
      <c r="U117" s="128"/>
      <c r="V117" s="128"/>
      <c r="W117" s="128"/>
      <c r="X117" s="128"/>
      <c r="Y117" s="128"/>
      <c r="Z117" s="128"/>
      <c r="AA117" s="128"/>
      <c r="AB117" s="128"/>
      <c r="AC117" s="128"/>
      <c r="AD117" s="98"/>
      <c r="AE117" s="98"/>
      <c r="AF117" s="98"/>
      <c r="AG117" s="98"/>
    </row>
    <row r="118" spans="1:44" s="182" customFormat="1" ht="39.950000000000003" customHeight="1" x14ac:dyDescent="0.4">
      <c r="A118" s="127"/>
      <c r="B118" s="221" t="s">
        <v>305</v>
      </c>
      <c r="C118" s="127"/>
      <c r="D118" s="127"/>
      <c r="E118" s="127"/>
      <c r="F118" s="127"/>
      <c r="G118" s="127"/>
      <c r="H118" s="127"/>
      <c r="I118" s="127"/>
      <c r="J118" s="127"/>
      <c r="K118" s="127"/>
      <c r="L118" s="127"/>
      <c r="M118" s="127"/>
      <c r="N118" s="127"/>
      <c r="O118" s="127"/>
      <c r="P118" s="127"/>
      <c r="Q118" s="127"/>
      <c r="R118" s="127"/>
      <c r="S118" s="128"/>
      <c r="T118" s="128"/>
      <c r="U118" s="128"/>
      <c r="V118" s="128"/>
      <c r="W118" s="128"/>
      <c r="X118" s="128"/>
      <c r="Y118" s="128"/>
      <c r="Z118" s="128"/>
      <c r="AA118" s="128"/>
      <c r="AB118" s="128"/>
      <c r="AC118" s="128"/>
      <c r="AD118" s="98"/>
      <c r="AE118" s="98"/>
      <c r="AF118" s="98"/>
      <c r="AG118" s="98"/>
    </row>
    <row r="119" spans="1:44" s="129" customFormat="1" ht="39.950000000000003" customHeight="1" x14ac:dyDescent="0.25">
      <c r="A119" s="127"/>
      <c r="B119" s="222" t="s">
        <v>306</v>
      </c>
      <c r="C119" s="223"/>
      <c r="D119" s="127"/>
      <c r="E119" s="127"/>
      <c r="F119" s="127"/>
      <c r="G119" s="127"/>
      <c r="H119" s="127"/>
      <c r="I119" s="96"/>
      <c r="J119" s="127"/>
      <c r="K119" s="127"/>
      <c r="L119" s="96"/>
      <c r="M119" s="96"/>
      <c r="N119" s="96"/>
      <c r="O119" s="96"/>
      <c r="P119" s="96"/>
      <c r="Q119" s="128"/>
      <c r="R119" s="128"/>
      <c r="S119" s="128"/>
      <c r="T119" s="128"/>
      <c r="U119" s="128"/>
      <c r="V119" s="128"/>
      <c r="W119" s="224"/>
      <c r="X119" s="128"/>
      <c r="Y119" s="225"/>
      <c r="Z119" s="128"/>
      <c r="AA119" s="128"/>
      <c r="AB119" s="128"/>
      <c r="AC119" s="128"/>
      <c r="AD119" s="98"/>
      <c r="AE119" s="98"/>
      <c r="AF119" s="98"/>
      <c r="AG119" s="98"/>
      <c r="AH119" s="182"/>
      <c r="AI119" s="182"/>
      <c r="AJ119" s="182"/>
      <c r="AK119" s="182"/>
      <c r="AL119" s="182"/>
      <c r="AM119" s="182"/>
      <c r="AN119" s="182"/>
      <c r="AO119" s="182"/>
      <c r="AP119" s="182"/>
      <c r="AQ119" s="182"/>
      <c r="AR119" s="182"/>
    </row>
    <row r="120" spans="1:44" s="129" customFormat="1" ht="39.950000000000003" customHeight="1" x14ac:dyDescent="0.25">
      <c r="A120" s="127"/>
      <c r="B120" s="130"/>
      <c r="C120" s="127"/>
      <c r="D120" s="127"/>
      <c r="E120" s="127"/>
      <c r="F120" s="127"/>
      <c r="G120" s="127"/>
      <c r="H120" s="127"/>
      <c r="I120" s="96"/>
      <c r="J120" s="127"/>
      <c r="K120" s="127"/>
      <c r="L120" s="96"/>
      <c r="M120" s="96"/>
      <c r="N120" s="96"/>
      <c r="O120" s="96"/>
      <c r="P120" s="96"/>
      <c r="Q120" s="128"/>
      <c r="R120" s="128"/>
      <c r="S120" s="128"/>
      <c r="T120" s="128"/>
      <c r="U120" s="128"/>
      <c r="V120" s="128"/>
      <c r="W120" s="128"/>
      <c r="X120" s="128"/>
      <c r="Y120" s="128"/>
      <c r="Z120" s="128"/>
      <c r="AA120" s="128"/>
      <c r="AB120" s="128"/>
      <c r="AC120" s="128"/>
      <c r="AD120" s="98"/>
      <c r="AE120" s="98"/>
      <c r="AF120" s="98"/>
      <c r="AG120" s="98"/>
      <c r="AH120" s="182"/>
      <c r="AI120" s="182"/>
      <c r="AJ120" s="182"/>
      <c r="AK120" s="182"/>
      <c r="AL120" s="182"/>
      <c r="AM120" s="182"/>
      <c r="AN120" s="182"/>
      <c r="AO120" s="182"/>
      <c r="AP120" s="182"/>
      <c r="AQ120" s="182"/>
      <c r="AR120" s="182"/>
    </row>
    <row r="121" spans="1:44" s="129" customFormat="1" ht="39.950000000000003" customHeight="1" x14ac:dyDescent="0.25">
      <c r="A121" s="127"/>
      <c r="B121" s="105" t="s">
        <v>307</v>
      </c>
      <c r="C121" s="184"/>
      <c r="D121" s="184"/>
      <c r="E121" s="184"/>
      <c r="F121" s="184"/>
      <c r="G121" s="184"/>
      <c r="H121" s="226"/>
      <c r="I121" s="226"/>
      <c r="J121" s="226"/>
      <c r="K121" s="226"/>
      <c r="L121" s="227"/>
      <c r="M121" s="227"/>
      <c r="N121" s="228"/>
      <c r="O121" s="228"/>
      <c r="P121" s="228"/>
      <c r="Q121" s="128"/>
      <c r="R121" s="128"/>
      <c r="S121" s="128"/>
      <c r="T121" s="128"/>
      <c r="U121" s="128"/>
      <c r="V121" s="128"/>
      <c r="W121" s="128"/>
      <c r="X121" s="128"/>
      <c r="Y121" s="128"/>
      <c r="Z121" s="128"/>
      <c r="AA121" s="128"/>
      <c r="AB121" s="128"/>
      <c r="AC121" s="128"/>
      <c r="AD121" s="98"/>
      <c r="AE121" s="98"/>
      <c r="AF121" s="98"/>
      <c r="AG121" s="98"/>
    </row>
    <row r="122" spans="1:44" s="129" customFormat="1" ht="39.950000000000003" customHeight="1" x14ac:dyDescent="0.25">
      <c r="A122" s="127"/>
      <c r="B122" s="184" t="s">
        <v>308</v>
      </c>
      <c r="C122" s="184"/>
      <c r="D122" s="184"/>
      <c r="E122" s="184"/>
      <c r="F122" s="184"/>
      <c r="G122" s="184"/>
      <c r="H122" s="184"/>
      <c r="I122" s="184"/>
      <c r="J122" s="184"/>
      <c r="K122" s="184"/>
      <c r="L122" s="96"/>
      <c r="M122" s="96"/>
      <c r="N122" s="96"/>
      <c r="O122" s="96"/>
      <c r="P122" s="96"/>
      <c r="Q122" s="128"/>
      <c r="R122" s="128"/>
      <c r="S122" s="128"/>
      <c r="T122" s="128"/>
      <c r="U122" s="128"/>
      <c r="V122" s="128"/>
      <c r="W122" s="128"/>
      <c r="X122" s="128"/>
      <c r="Y122" s="128"/>
      <c r="Z122" s="128"/>
      <c r="AA122" s="128"/>
      <c r="AB122" s="128"/>
      <c r="AC122" s="128"/>
      <c r="AD122" s="98"/>
      <c r="AE122" s="98"/>
      <c r="AF122" s="98"/>
      <c r="AG122" s="98"/>
    </row>
    <row r="123" spans="1:44" s="129" customFormat="1" ht="39.950000000000003" customHeight="1" x14ac:dyDescent="0.25">
      <c r="A123" s="186" t="s">
        <v>266</v>
      </c>
      <c r="B123" s="184"/>
      <c r="C123" s="1466" t="s">
        <v>309</v>
      </c>
      <c r="D123" s="1466"/>
      <c r="E123" s="1466"/>
      <c r="F123" s="1466"/>
      <c r="G123" s="1466"/>
      <c r="H123" s="1466"/>
      <c r="I123" s="1466"/>
      <c r="J123" s="1466"/>
      <c r="K123" s="1466"/>
      <c r="L123" s="96"/>
      <c r="M123" s="96"/>
      <c r="N123" s="96"/>
      <c r="O123" s="96"/>
      <c r="P123" s="96"/>
      <c r="Q123" s="128"/>
      <c r="R123" s="128"/>
      <c r="S123" s="128"/>
      <c r="T123" s="128"/>
      <c r="U123" s="128"/>
      <c r="V123" s="128"/>
      <c r="W123" s="128"/>
      <c r="X123" s="128"/>
      <c r="Y123" s="128"/>
      <c r="Z123" s="128"/>
      <c r="AA123" s="128"/>
      <c r="AB123" s="128"/>
      <c r="AC123" s="128"/>
      <c r="AD123" s="98"/>
      <c r="AE123" s="98"/>
      <c r="AF123" s="98"/>
      <c r="AG123" s="98"/>
    </row>
    <row r="124" spans="1:44" s="129" customFormat="1" ht="39.950000000000003" customHeight="1" x14ac:dyDescent="0.2">
      <c r="A124" s="186" t="s">
        <v>310</v>
      </c>
      <c r="B124" s="1466" t="s">
        <v>311</v>
      </c>
      <c r="C124" s="1466"/>
      <c r="D124" s="1466"/>
      <c r="E124" s="1466"/>
      <c r="F124" s="1466"/>
      <c r="G124" s="1466"/>
      <c r="H124" s="1466"/>
      <c r="I124" s="1466"/>
      <c r="J124" s="1466"/>
      <c r="K124" s="1466"/>
      <c r="L124" s="1466"/>
      <c r="M124" s="1466"/>
      <c r="N124" s="1466"/>
      <c r="O124" s="1466"/>
      <c r="P124" s="1466"/>
      <c r="Q124" s="1466"/>
      <c r="R124" s="1466"/>
      <c r="S124" s="1466"/>
      <c r="T124" s="1466"/>
      <c r="U124" s="1466"/>
      <c r="V124" s="1466"/>
      <c r="W124" s="128"/>
      <c r="X124" s="128"/>
      <c r="Y124" s="128"/>
      <c r="Z124" s="128"/>
      <c r="AA124" s="128"/>
      <c r="AB124" s="128"/>
      <c r="AC124" s="128"/>
      <c r="AD124" s="98"/>
      <c r="AE124" s="98"/>
      <c r="AF124" s="98"/>
      <c r="AG124" s="98"/>
    </row>
    <row r="125" spans="1:44" s="129" customFormat="1" ht="39.950000000000003" customHeight="1" x14ac:dyDescent="0.25">
      <c r="A125" s="127"/>
      <c r="B125" s="130"/>
      <c r="C125" s="127"/>
      <c r="D125" s="127"/>
      <c r="E125" s="127"/>
      <c r="F125" s="127"/>
      <c r="G125" s="127"/>
      <c r="H125" s="127"/>
      <c r="I125" s="96"/>
      <c r="J125" s="127"/>
      <c r="K125" s="127"/>
      <c r="L125" s="96"/>
      <c r="M125" s="96"/>
      <c r="N125" s="96"/>
      <c r="O125" s="96"/>
      <c r="P125" s="96"/>
      <c r="Q125" s="128"/>
      <c r="R125" s="128"/>
      <c r="S125" s="128"/>
      <c r="T125" s="128"/>
      <c r="U125" s="128"/>
      <c r="V125" s="128"/>
      <c r="W125" s="128"/>
      <c r="X125" s="128"/>
      <c r="Y125" s="128"/>
      <c r="Z125" s="128"/>
      <c r="AA125" s="128"/>
      <c r="AB125" s="128"/>
      <c r="AC125" s="128"/>
      <c r="AD125" s="98"/>
      <c r="AE125" s="98"/>
      <c r="AF125" s="98"/>
      <c r="AG125" s="98"/>
      <c r="AH125" s="182"/>
      <c r="AI125" s="182"/>
      <c r="AJ125" s="182"/>
      <c r="AK125" s="182"/>
      <c r="AL125" s="182"/>
      <c r="AM125" s="182"/>
      <c r="AN125" s="182"/>
      <c r="AO125" s="182"/>
      <c r="AP125" s="182"/>
      <c r="AQ125" s="182"/>
      <c r="AR125" s="182"/>
    </row>
  </sheetData>
  <mergeCells count="2">
    <mergeCell ref="C123:K123"/>
    <mergeCell ref="B124:V124"/>
  </mergeCells>
  <hyperlinks>
    <hyperlink ref="C123" r:id="rId1" display="http://www.excel-downloads.com/forum/111720-space.html" xr:uid="{3B1D01F3-611D-43DE-9E44-4CD97EA55094}"/>
    <hyperlink ref="B124" r:id="rId2" xr:uid="{5C6D81D0-BFD9-4BBF-8C54-5160802DD7B5}"/>
    <hyperlink ref="B88" r:id="rId3" display="Les unités pifométriques" xr:uid="{313C8EA4-33E9-4686-BB4C-44C420069939}"/>
    <hyperlink ref="D93" r:id="rId4" xr:uid="{8F0FB3BB-598B-4E43-B448-FCE29F4CEEEC}"/>
    <hyperlink ref="D94" r:id="rId5" xr:uid="{FE2DE4C1-B6B9-413F-AB03-FDFE903EBDB5}"/>
    <hyperlink ref="D95" r:id="rId6" xr:uid="{7B4E2861-46DE-4F7C-B7D1-0BA68644DF04}"/>
    <hyperlink ref="D96" r:id="rId7" xr:uid="{EB2CA0DB-0D34-43F8-8A36-748472BE6E45}"/>
    <hyperlink ref="D98" r:id="rId8" xr:uid="{6FA6D3BC-BC81-451E-996F-C7C237C9B23E}"/>
    <hyperlink ref="D92" r:id="rId9" xr:uid="{57C42EFF-C3F7-40CF-9866-24DEEDA04FED}"/>
    <hyperlink ref="B102" r:id="rId10" display="https://www.youtube.com/watch?v=YfGrccEQGKk" xr:uid="{760C213B-D7FC-406B-9D4D-C9EF60225FF5}"/>
    <hyperlink ref="B103" r:id="rId11" display="https://www.youtube.com/watch?v=li4XNespLxg" xr:uid="{2655C560-97CB-4E88-8639-EB66402DB1C6}"/>
    <hyperlink ref="B100:M100" r:id="rId12" display="Différence entre un fichier XLS et XLSX (ou XLSM)" xr:uid="{786C8116-84C0-4768-8263-E4A19DD9BCAA}"/>
    <hyperlink ref="D97" r:id="rId13" xr:uid="{6C89218E-47CF-4127-BBD9-911FD95C9903}"/>
    <hyperlink ref="B105:H105" r:id="rId14" display="Forum Bureautique" xr:uid="{7201C856-6E51-4A66-A627-6B4DDB67ACFF}"/>
    <hyperlink ref="B106:M106" r:id="rId15" display="Alternatives à Microsoft Excel : 5 programmes gratuits et convaincants" xr:uid="{D5C8A60B-8123-4C42-8DCC-F776947848D8}"/>
    <hyperlink ref="B107:J107" r:id="rId16" display="Excel SI-ALORS: comment fonctionne la formule SI ?" xr:uid="{19CA13D3-AC13-4591-B7B9-163A58C6BB3C}"/>
    <hyperlink ref="B108:I108" r:id="rId17" display="Les 20 meilleurs Tricks Mathématiques" xr:uid="{A91D9CB2-126A-42B8-931A-55A7BB24E238}"/>
    <hyperlink ref="D111" r:id="rId18" xr:uid="{AA9D4018-6D52-4DDB-B304-13E0ED29DDEA}"/>
    <hyperlink ref="D112" r:id="rId19" xr:uid="{7319508F-07CF-4740-A446-E6C64B9E445D}"/>
    <hyperlink ref="D110" r:id="rId20" xr:uid="{9656FB84-B117-4142-902B-2B9DE8933DF7}"/>
    <hyperlink ref="D113" r:id="rId21" xr:uid="{847FB418-8030-4C16-8780-A5451A0CF8D4}"/>
    <hyperlink ref="D114" r:id="rId22" xr:uid="{61FF3AD9-8602-45C3-B47C-4B4E27288FEB}"/>
    <hyperlink ref="D88" r:id="rId23" xr:uid="{2C34FDB1-4335-4AD3-8CEE-7AAB364C3F74}"/>
    <hyperlink ref="D102" r:id="rId24" xr:uid="{86D3F339-2F15-42C1-A6CF-CA32B8B7C159}"/>
    <hyperlink ref="D103" r:id="rId25" xr:uid="{C9E850E4-534D-4303-AE72-A6C67B3C05E4}"/>
    <hyperlink ref="D100" r:id="rId26" xr:uid="{E4E67EE7-5BDF-46C8-BC07-4FF3C16DFF68}"/>
    <hyperlink ref="D104" r:id="rId27" xr:uid="{65DC85AA-D0D2-4D9A-9F73-0269DF417D12}"/>
    <hyperlink ref="D105" r:id="rId28" xr:uid="{4FFB18D3-B81E-4F82-B3C4-64B59C593619}"/>
    <hyperlink ref="D106" r:id="rId29" xr:uid="{CD9C9208-B4A8-44E9-94C2-F7D4EE8EF468}"/>
    <hyperlink ref="D107" r:id="rId30" xr:uid="{1E429DD3-78D0-4977-8B7D-A01740AD1908}"/>
    <hyperlink ref="D108" r:id="rId31" xr:uid="{1F894887-2350-4065-BEA3-7468C50FB07C}"/>
    <hyperlink ref="D91" r:id="rId32" xr:uid="{A6960A3D-EDA5-45DE-BEB0-7049DEE97F17}"/>
    <hyperlink ref="D116" r:id="rId33" xr:uid="{B7A14860-209E-49DD-B739-61156FB3F8E2}"/>
    <hyperlink ref="D115" r:id="rId34" display="EXCEL - Supprimer la protection VBA" xr:uid="{F3FA7955-D7EA-4412-A57E-8004A9F160FC}"/>
  </hyperlinks>
  <pageMargins left="0.7" right="0.7" top="0.75" bottom="0.75" header="0.3" footer="0.3"/>
  <pageSetup paperSize="9" orientation="portrait" r:id="rId35"/>
  <drawing r:id="rId3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FDBA-A65D-48CB-95F4-65C1C459306F}">
  <sheetPr codeName="Feuil1"/>
  <dimension ref="A1:R126"/>
  <sheetViews>
    <sheetView showGridLines="0" zoomScaleNormal="100" workbookViewId="0">
      <selection activeCell="B35" sqref="B35"/>
    </sheetView>
  </sheetViews>
  <sheetFormatPr baseColWidth="10" defaultRowHeight="15.75" x14ac:dyDescent="0.25"/>
  <cols>
    <col min="2" max="2" width="101" customWidth="1"/>
    <col min="3" max="9" width="5.625" customWidth="1"/>
    <col min="10" max="10" width="12.25" customWidth="1"/>
    <col min="11" max="11" width="14.875" customWidth="1"/>
    <col min="12" max="32" width="5.625" customWidth="1"/>
  </cols>
  <sheetData>
    <row r="1" spans="2:18" x14ac:dyDescent="0.25">
      <c r="B1" s="45"/>
      <c r="C1" s="13"/>
      <c r="D1" s="13"/>
      <c r="E1" s="13"/>
      <c r="F1" s="13"/>
      <c r="G1" s="13"/>
      <c r="H1" s="13"/>
      <c r="I1" s="13"/>
      <c r="J1" s="13"/>
      <c r="K1" s="13"/>
      <c r="L1" s="13"/>
      <c r="M1" s="13"/>
      <c r="N1" s="13"/>
      <c r="O1" s="13"/>
    </row>
    <row r="2" spans="2:18" ht="26.25" customHeight="1" x14ac:dyDescent="0.25">
      <c r="B2" s="80" t="s">
        <v>148</v>
      </c>
      <c r="C2" s="13"/>
      <c r="D2" s="13"/>
      <c r="E2" s="13"/>
      <c r="F2" s="13"/>
      <c r="G2" s="13"/>
      <c r="H2" s="13"/>
      <c r="I2" s="13"/>
      <c r="J2" s="13"/>
      <c r="K2" s="13"/>
      <c r="L2" s="13"/>
      <c r="M2" s="13"/>
      <c r="N2" s="13"/>
      <c r="O2" s="13"/>
    </row>
    <row r="3" spans="2:18" x14ac:dyDescent="0.25">
      <c r="B3" s="45"/>
      <c r="C3" s="13"/>
      <c r="D3" s="13"/>
      <c r="E3" s="13"/>
      <c r="F3" s="13"/>
      <c r="G3" s="13"/>
      <c r="H3" s="13"/>
      <c r="I3" s="13"/>
      <c r="J3" s="13"/>
      <c r="K3" s="13"/>
      <c r="L3" s="13"/>
      <c r="M3" s="13"/>
      <c r="N3" s="13"/>
      <c r="O3" s="13"/>
    </row>
    <row r="4" spans="2:18" x14ac:dyDescent="0.25">
      <c r="B4" s="45"/>
      <c r="C4" s="13"/>
      <c r="D4" s="1467">
        <v>2020</v>
      </c>
      <c r="E4" s="1467"/>
      <c r="F4" s="1467"/>
      <c r="G4" s="1467"/>
      <c r="H4" s="1467"/>
      <c r="I4" s="13"/>
      <c r="J4" s="13"/>
      <c r="K4" s="13"/>
      <c r="L4" s="13"/>
      <c r="M4" s="13"/>
      <c r="N4" s="13"/>
      <c r="O4" s="13"/>
    </row>
    <row r="5" spans="2:18" x14ac:dyDescent="0.25">
      <c r="B5" s="45"/>
      <c r="C5" s="13"/>
      <c r="D5" s="1467"/>
      <c r="E5" s="1467"/>
      <c r="F5" s="1467"/>
      <c r="G5" s="1467"/>
      <c r="H5" s="1467"/>
      <c r="I5" s="13"/>
      <c r="J5" s="13"/>
      <c r="K5" s="13"/>
      <c r="L5" s="13"/>
      <c r="M5" s="13"/>
      <c r="N5" s="13"/>
      <c r="O5" s="13"/>
    </row>
    <row r="6" spans="2:18" x14ac:dyDescent="0.25">
      <c r="B6" s="45"/>
      <c r="C6" s="13"/>
      <c r="D6" s="13"/>
      <c r="E6" s="19" t="s">
        <v>40</v>
      </c>
      <c r="F6" s="1469" t="s">
        <v>142</v>
      </c>
      <c r="G6" s="1469"/>
      <c r="H6" s="1469"/>
      <c r="I6" s="1469"/>
      <c r="J6" s="1469"/>
      <c r="K6" s="1469"/>
      <c r="L6" s="22" t="s">
        <v>7</v>
      </c>
      <c r="M6" s="13"/>
      <c r="N6" s="13"/>
      <c r="O6" s="13"/>
    </row>
    <row r="7" spans="2:18" x14ac:dyDescent="0.25">
      <c r="B7" s="45"/>
      <c r="C7" s="13"/>
      <c r="D7" s="13"/>
      <c r="E7" s="19" t="s">
        <v>38</v>
      </c>
      <c r="F7" s="1470" t="s">
        <v>143</v>
      </c>
      <c r="G7" s="1470"/>
      <c r="H7" s="1470"/>
      <c r="I7" s="1470"/>
      <c r="J7" s="1470"/>
      <c r="K7" s="1470"/>
      <c r="L7" s="22" t="s">
        <v>8</v>
      </c>
      <c r="M7" s="13"/>
      <c r="N7" s="13"/>
      <c r="O7" s="13"/>
    </row>
    <row r="8" spans="2:18" x14ac:dyDescent="0.25">
      <c r="B8" s="45"/>
      <c r="C8" s="13"/>
      <c r="D8" s="13"/>
      <c r="E8" s="19" t="s">
        <v>39</v>
      </c>
      <c r="F8" s="1471" t="s">
        <v>144</v>
      </c>
      <c r="G8" s="1471"/>
      <c r="H8" s="1471"/>
      <c r="I8" s="1471"/>
      <c r="J8" s="1471"/>
      <c r="K8" s="1471"/>
      <c r="L8" s="22" t="s">
        <v>6</v>
      </c>
      <c r="M8" s="13"/>
      <c r="N8" s="13"/>
      <c r="O8" s="13"/>
    </row>
    <row r="9" spans="2:18" x14ac:dyDescent="0.25">
      <c r="B9" s="45"/>
      <c r="C9" s="13"/>
      <c r="D9" s="81"/>
      <c r="E9" s="81"/>
      <c r="F9" s="81"/>
      <c r="G9" s="81"/>
      <c r="H9" s="81"/>
      <c r="I9" s="81"/>
      <c r="J9" s="81"/>
      <c r="K9" s="81"/>
      <c r="L9" s="81"/>
      <c r="M9" s="13"/>
      <c r="N9" s="13"/>
      <c r="O9" s="13"/>
    </row>
    <row r="10" spans="2:18" x14ac:dyDescent="0.25">
      <c r="B10" s="45"/>
      <c r="C10" s="13"/>
      <c r="D10" s="75" t="s">
        <v>135</v>
      </c>
      <c r="E10" s="81"/>
      <c r="F10" s="81"/>
      <c r="G10" s="81"/>
      <c r="H10" s="81"/>
      <c r="I10" s="81"/>
      <c r="J10" s="91">
        <f>I10</f>
        <v>0</v>
      </c>
      <c r="K10" s="86" t="s">
        <v>139</v>
      </c>
      <c r="L10" s="76"/>
      <c r="M10" s="13"/>
      <c r="N10" s="13"/>
      <c r="O10" s="13"/>
    </row>
    <row r="11" spans="2:18" x14ac:dyDescent="0.25">
      <c r="B11" s="45"/>
      <c r="C11" s="13"/>
      <c r="D11" s="75" t="s">
        <v>136</v>
      </c>
      <c r="E11" s="81"/>
      <c r="F11" s="81"/>
      <c r="G11" s="81"/>
      <c r="H11" s="81"/>
      <c r="I11" s="81"/>
      <c r="J11" s="82"/>
      <c r="K11" s="83"/>
      <c r="L11" s="81"/>
      <c r="M11" s="13"/>
      <c r="N11" s="13"/>
      <c r="O11" s="13"/>
    </row>
    <row r="12" spans="2:18" x14ac:dyDescent="0.25">
      <c r="B12" s="45"/>
      <c r="C12" s="13"/>
      <c r="D12" s="77" t="s">
        <v>145</v>
      </c>
      <c r="E12" s="77"/>
      <c r="F12" s="77"/>
      <c r="G12" s="77"/>
      <c r="H12" s="81"/>
      <c r="I12" s="81"/>
      <c r="J12" s="87" t="s">
        <v>137</v>
      </c>
      <c r="L12" s="81"/>
      <c r="M12" s="89" t="s">
        <v>140</v>
      </c>
      <c r="N12" s="13"/>
      <c r="O12" s="13"/>
    </row>
    <row r="13" spans="2:18" x14ac:dyDescent="0.25">
      <c r="B13" s="45"/>
      <c r="C13" s="13"/>
      <c r="D13" s="78" t="s">
        <v>146</v>
      </c>
      <c r="E13" s="78"/>
      <c r="F13" s="78"/>
      <c r="G13" s="78"/>
      <c r="H13" s="81"/>
      <c r="I13" s="81"/>
      <c r="J13" s="88" t="s">
        <v>138</v>
      </c>
      <c r="L13" s="81"/>
      <c r="M13" s="90" t="s">
        <v>141</v>
      </c>
      <c r="N13" s="13"/>
      <c r="O13" s="13"/>
    </row>
    <row r="14" spans="2:18" x14ac:dyDescent="0.25">
      <c r="B14" s="45"/>
      <c r="C14" s="13"/>
      <c r="D14" s="79" t="s">
        <v>147</v>
      </c>
      <c r="E14" s="79"/>
      <c r="F14" s="79"/>
      <c r="G14" s="79"/>
      <c r="H14" s="81"/>
      <c r="I14" s="81"/>
      <c r="J14" s="87" t="s">
        <v>150</v>
      </c>
      <c r="L14" s="81"/>
      <c r="M14" s="84"/>
      <c r="N14" s="13"/>
      <c r="O14" s="13"/>
    </row>
    <row r="15" spans="2:18" ht="18.75" x14ac:dyDescent="0.3">
      <c r="B15" s="1461"/>
      <c r="C15" s="13"/>
      <c r="D15" s="13"/>
      <c r="E15" s="13"/>
      <c r="F15" s="13"/>
      <c r="G15" s="13"/>
      <c r="H15" s="13"/>
      <c r="I15" s="13"/>
      <c r="J15" s="13"/>
      <c r="K15" s="13"/>
      <c r="L15" s="13"/>
      <c r="M15" s="13"/>
      <c r="N15" s="13"/>
      <c r="O15" s="13"/>
    </row>
    <row r="16" spans="2:18" ht="26.25" x14ac:dyDescent="0.4">
      <c r="B16" s="1462" t="s">
        <v>35</v>
      </c>
      <c r="C16" s="13"/>
      <c r="D16" s="85"/>
      <c r="E16" s="13"/>
      <c r="F16" s="13"/>
      <c r="G16" s="13"/>
      <c r="H16" s="13"/>
      <c r="I16" s="13"/>
      <c r="J16" s="92" t="s">
        <v>4</v>
      </c>
      <c r="K16" s="93" t="s">
        <v>9</v>
      </c>
      <c r="L16" s="1468">
        <v>42748</v>
      </c>
      <c r="M16" s="1468"/>
      <c r="N16" s="1468"/>
      <c r="O16" s="1468">
        <v>42751</v>
      </c>
      <c r="P16" s="1468"/>
      <c r="Q16" s="1468"/>
      <c r="R16" s="10" t="s">
        <v>7</v>
      </c>
    </row>
    <row r="17" spans="2:14" ht="18.75" x14ac:dyDescent="0.3">
      <c r="B17" s="1461"/>
      <c r="C17" s="13"/>
      <c r="D17" s="13"/>
      <c r="E17" s="13"/>
      <c r="F17" s="13"/>
      <c r="G17" s="13"/>
      <c r="H17" s="13"/>
      <c r="I17" s="13"/>
      <c r="J17" s="13"/>
      <c r="K17" s="13"/>
      <c r="L17" s="13"/>
      <c r="M17" s="13"/>
      <c r="N17" s="13"/>
    </row>
    <row r="18" spans="2:14" ht="18.75" x14ac:dyDescent="0.3">
      <c r="B18" s="1462" t="s">
        <v>14</v>
      </c>
      <c r="D18" s="13"/>
      <c r="E18" s="13"/>
      <c r="F18" s="13"/>
      <c r="G18" s="13"/>
      <c r="H18" s="13"/>
      <c r="I18" s="13"/>
      <c r="J18" s="13"/>
      <c r="K18" s="13"/>
      <c r="L18" s="13"/>
      <c r="M18" s="13"/>
      <c r="N18" s="13"/>
    </row>
    <row r="19" spans="2:14" x14ac:dyDescent="0.25">
      <c r="B19" s="45"/>
      <c r="D19" s="13"/>
      <c r="E19" s="13"/>
      <c r="F19" s="13"/>
      <c r="G19" s="13"/>
      <c r="H19" s="13"/>
      <c r="I19" s="13"/>
      <c r="J19" s="13"/>
      <c r="K19" s="13"/>
      <c r="L19" s="13"/>
      <c r="M19" s="13"/>
      <c r="N19" s="13"/>
    </row>
    <row r="20" spans="2:14" ht="18.75" x14ac:dyDescent="0.3">
      <c r="B20" s="1461" t="s">
        <v>15</v>
      </c>
    </row>
    <row r="21" spans="2:14" ht="18.75" x14ac:dyDescent="0.3">
      <c r="B21" s="1461" t="s">
        <v>115</v>
      </c>
      <c r="I21" s="234" t="s">
        <v>112</v>
      </c>
      <c r="J21" s="231" t="s">
        <v>353</v>
      </c>
      <c r="K21" s="12"/>
    </row>
    <row r="22" spans="2:14" ht="18.75" x14ac:dyDescent="0.3">
      <c r="B22" s="1461" t="s">
        <v>116</v>
      </c>
      <c r="I22" s="235" t="s">
        <v>354</v>
      </c>
      <c r="J22" s="231" t="s">
        <v>355</v>
      </c>
      <c r="K22" s="12"/>
    </row>
    <row r="23" spans="2:14" ht="18.75" x14ac:dyDescent="0.3">
      <c r="B23" s="1461" t="s">
        <v>117</v>
      </c>
      <c r="I23" s="236" t="s">
        <v>356</v>
      </c>
      <c r="J23" s="232" t="s">
        <v>357</v>
      </c>
      <c r="K23" s="12"/>
    </row>
    <row r="24" spans="2:14" ht="18.75" x14ac:dyDescent="0.3">
      <c r="B24" s="1461" t="s">
        <v>118</v>
      </c>
      <c r="I24" s="236" t="s">
        <v>358</v>
      </c>
      <c r="J24" s="232" t="s">
        <v>359</v>
      </c>
      <c r="K24" s="230"/>
    </row>
    <row r="25" spans="2:14" ht="18.75" x14ac:dyDescent="0.3">
      <c r="B25" s="1461" t="s">
        <v>119</v>
      </c>
      <c r="I25" s="237" t="s">
        <v>360</v>
      </c>
      <c r="J25" s="232" t="s">
        <v>361</v>
      </c>
      <c r="K25" s="230"/>
    </row>
    <row r="26" spans="2:14" ht="18.75" x14ac:dyDescent="0.3">
      <c r="B26" s="1461" t="s">
        <v>120</v>
      </c>
      <c r="I26" s="233"/>
      <c r="J26" s="233"/>
      <c r="K26" s="230"/>
    </row>
    <row r="27" spans="2:14" ht="18.75" x14ac:dyDescent="0.3">
      <c r="B27" s="1461" t="s">
        <v>121</v>
      </c>
      <c r="I27" s="238" t="s">
        <v>362</v>
      </c>
      <c r="J27" s="232" t="s">
        <v>363</v>
      </c>
      <c r="K27" s="12"/>
    </row>
    <row r="28" spans="2:14" ht="18.75" x14ac:dyDescent="0.3">
      <c r="B28" s="1461" t="s">
        <v>16</v>
      </c>
      <c r="I28" s="239" t="s">
        <v>364</v>
      </c>
      <c r="J28" s="232" t="s">
        <v>365</v>
      </c>
      <c r="K28" s="12"/>
    </row>
    <row r="29" spans="2:14" ht="18.75" x14ac:dyDescent="0.3">
      <c r="B29" s="1461" t="s">
        <v>17</v>
      </c>
      <c r="I29" s="240" t="s">
        <v>366</v>
      </c>
      <c r="J29" s="233"/>
      <c r="K29" s="12"/>
    </row>
    <row r="30" spans="2:14" ht="18.75" x14ac:dyDescent="0.3">
      <c r="B30" s="1461" t="s">
        <v>18</v>
      </c>
      <c r="I30" s="241" t="s">
        <v>8</v>
      </c>
      <c r="J30" s="232" t="s">
        <v>367</v>
      </c>
      <c r="K30" s="12"/>
    </row>
    <row r="31" spans="2:14" ht="18.75" x14ac:dyDescent="0.3">
      <c r="B31" s="1461" t="s">
        <v>19</v>
      </c>
      <c r="I31" s="242" t="s">
        <v>368</v>
      </c>
      <c r="J31" s="232" t="s">
        <v>369</v>
      </c>
      <c r="K31" s="12"/>
    </row>
    <row r="32" spans="2:14" ht="18.75" x14ac:dyDescent="0.3">
      <c r="B32" s="1461" t="s">
        <v>20</v>
      </c>
      <c r="I32" s="243" t="s">
        <v>7</v>
      </c>
      <c r="J32" s="232" t="s">
        <v>370</v>
      </c>
      <c r="K32" s="12"/>
    </row>
    <row r="33" spans="2:11" ht="18.75" x14ac:dyDescent="0.3">
      <c r="B33" s="1461"/>
      <c r="I33" s="244" t="s">
        <v>371</v>
      </c>
      <c r="J33" s="231" t="s">
        <v>372</v>
      </c>
      <c r="K33" s="12"/>
    </row>
    <row r="34" spans="2:11" ht="18.75" x14ac:dyDescent="0.3">
      <c r="B34" s="1462" t="s">
        <v>21</v>
      </c>
      <c r="I34" s="244" t="s">
        <v>373</v>
      </c>
      <c r="J34" s="231" t="s">
        <v>374</v>
      </c>
      <c r="K34" s="12"/>
    </row>
    <row r="35" spans="2:11" ht="18.75" x14ac:dyDescent="0.3">
      <c r="B35" s="1461"/>
    </row>
    <row r="36" spans="2:11" ht="18.75" x14ac:dyDescent="0.3">
      <c r="B36" s="1462" t="s">
        <v>22</v>
      </c>
    </row>
    <row r="37" spans="2:11" ht="18.75" x14ac:dyDescent="0.3">
      <c r="B37" s="1461"/>
    </row>
    <row r="38" spans="2:11" ht="18.75" x14ac:dyDescent="0.3">
      <c r="B38" s="1462" t="s">
        <v>23</v>
      </c>
    </row>
    <row r="39" spans="2:11" ht="18.75" x14ac:dyDescent="0.3">
      <c r="B39" s="1461"/>
    </row>
    <row r="40" spans="2:11" ht="18.75" x14ac:dyDescent="0.3">
      <c r="B40" s="1462" t="s">
        <v>24</v>
      </c>
    </row>
    <row r="41" spans="2:11" ht="18.75" x14ac:dyDescent="0.3">
      <c r="B41" s="1461"/>
    </row>
    <row r="42" spans="2:11" ht="18.75" x14ac:dyDescent="0.3">
      <c r="B42" s="1462" t="s">
        <v>13</v>
      </c>
    </row>
    <row r="43" spans="2:11" ht="18.75" x14ac:dyDescent="0.3">
      <c r="B43" s="1461"/>
    </row>
    <row r="44" spans="2:11" ht="18.75" x14ac:dyDescent="0.3">
      <c r="B44" s="1462" t="s">
        <v>25</v>
      </c>
    </row>
    <row r="45" spans="2:11" ht="18.75" x14ac:dyDescent="0.3">
      <c r="B45" s="1461"/>
    </row>
    <row r="46" spans="2:11" ht="18.75" x14ac:dyDescent="0.3">
      <c r="B46" s="1462" t="s">
        <v>26</v>
      </c>
    </row>
    <row r="47" spans="2:11" ht="18.75" x14ac:dyDescent="0.3">
      <c r="B47" s="1461"/>
    </row>
    <row r="48" spans="2:11" ht="18.75" x14ac:dyDescent="0.3">
      <c r="B48" s="1462" t="s">
        <v>27</v>
      </c>
    </row>
    <row r="49" spans="2:2" ht="18.75" x14ac:dyDescent="0.3">
      <c r="B49" s="1461"/>
    </row>
    <row r="50" spans="2:2" ht="18.75" x14ac:dyDescent="0.3">
      <c r="B50" s="1462" t="s">
        <v>28</v>
      </c>
    </row>
    <row r="51" spans="2:2" ht="18.75" x14ac:dyDescent="0.3">
      <c r="B51" s="1461"/>
    </row>
    <row r="52" spans="2:2" ht="18.75" x14ac:dyDescent="0.3">
      <c r="B52" s="1462" t="s">
        <v>29</v>
      </c>
    </row>
    <row r="53" spans="2:2" ht="18.75" x14ac:dyDescent="0.3">
      <c r="B53" s="1461"/>
    </row>
    <row r="54" spans="2:2" ht="18.75" x14ac:dyDescent="0.3">
      <c r="B54" s="1462" t="s">
        <v>30</v>
      </c>
    </row>
    <row r="55" spans="2:2" ht="18.75" x14ac:dyDescent="0.3">
      <c r="B55" s="1461"/>
    </row>
    <row r="56" spans="2:2" ht="18.75" x14ac:dyDescent="0.3">
      <c r="B56" s="1462" t="s">
        <v>31</v>
      </c>
    </row>
    <row r="57" spans="2:2" ht="18.75" x14ac:dyDescent="0.3">
      <c r="B57" s="1461"/>
    </row>
    <row r="58" spans="2:2" ht="18.75" x14ac:dyDescent="0.3">
      <c r="B58" s="1462" t="s">
        <v>27</v>
      </c>
    </row>
    <row r="59" spans="2:2" ht="18.75" x14ac:dyDescent="0.3">
      <c r="B59" s="1461"/>
    </row>
    <row r="60" spans="2:2" ht="18.75" x14ac:dyDescent="0.3">
      <c r="B60" s="1462" t="s">
        <v>32</v>
      </c>
    </row>
    <row r="61" spans="2:2" ht="18.75" x14ac:dyDescent="0.3">
      <c r="B61" s="1461"/>
    </row>
    <row r="62" spans="2:2" ht="18.75" x14ac:dyDescent="0.3">
      <c r="B62" s="1462" t="s">
        <v>33</v>
      </c>
    </row>
    <row r="63" spans="2:2" ht="18.75" x14ac:dyDescent="0.3">
      <c r="B63" s="1461"/>
    </row>
    <row r="64" spans="2:2" ht="18.75" x14ac:dyDescent="0.3">
      <c r="B64" s="1462" t="s">
        <v>34</v>
      </c>
    </row>
    <row r="65" spans="1:13" ht="18.75" x14ac:dyDescent="0.3">
      <c r="B65" s="1461"/>
    </row>
    <row r="66" spans="1:13" ht="18.75" x14ac:dyDescent="0.3">
      <c r="B66" s="1305" t="s">
        <v>12</v>
      </c>
    </row>
    <row r="67" spans="1:13" ht="18.75" x14ac:dyDescent="0.3">
      <c r="B67" s="1746" t="s">
        <v>13</v>
      </c>
    </row>
    <row r="68" spans="1:13" ht="18.75" x14ac:dyDescent="0.3">
      <c r="B68" s="1747"/>
    </row>
    <row r="69" spans="1:13" ht="18.75" x14ac:dyDescent="0.3">
      <c r="A69" s="13"/>
      <c r="B69" s="1461" t="s">
        <v>1042</v>
      </c>
      <c r="C69" s="13"/>
      <c r="D69" s="13"/>
      <c r="E69" s="13"/>
      <c r="F69" s="13"/>
      <c r="G69" s="13"/>
      <c r="H69" s="13"/>
      <c r="I69" s="13"/>
      <c r="J69" s="13"/>
      <c r="K69" s="13"/>
      <c r="L69" s="13"/>
    </row>
    <row r="70" spans="1:13" ht="18.75" x14ac:dyDescent="0.3">
      <c r="A70" s="13"/>
      <c r="B70" s="1462" t="s">
        <v>1003</v>
      </c>
      <c r="C70" s="1461"/>
      <c r="D70" s="1461"/>
      <c r="E70" s="1461"/>
      <c r="F70" s="1461"/>
      <c r="G70" s="1461"/>
      <c r="H70" s="1461"/>
      <c r="I70" s="1461"/>
      <c r="J70" s="1461"/>
      <c r="K70" s="13"/>
      <c r="L70" s="1461"/>
      <c r="M70" s="1305"/>
    </row>
    <row r="71" spans="1:13" ht="18.75" x14ac:dyDescent="0.3">
      <c r="A71" s="13"/>
      <c r="B71" s="1748"/>
      <c r="C71" s="1461"/>
      <c r="D71" s="1461"/>
      <c r="E71" s="1461"/>
      <c r="F71" s="1461"/>
      <c r="G71" s="1461"/>
      <c r="H71" s="1461"/>
      <c r="I71" s="1461"/>
      <c r="J71" s="1461"/>
      <c r="K71" s="13"/>
      <c r="L71" s="1461"/>
      <c r="M71" s="1305"/>
    </row>
    <row r="72" spans="1:13" ht="18.75" x14ac:dyDescent="0.3">
      <c r="A72" s="13"/>
      <c r="B72" s="1461" t="s">
        <v>1004</v>
      </c>
      <c r="C72" s="1461"/>
      <c r="D72" s="1461"/>
      <c r="E72" s="1461"/>
      <c r="F72" s="1461"/>
      <c r="G72" s="1461"/>
      <c r="H72" s="1461"/>
      <c r="I72" s="1461"/>
      <c r="J72" s="1461"/>
      <c r="K72" s="13"/>
      <c r="L72" s="1461"/>
      <c r="M72" s="1305"/>
    </row>
    <row r="73" spans="1:13" ht="18.75" x14ac:dyDescent="0.3">
      <c r="A73" s="13"/>
      <c r="B73" s="1462" t="s">
        <v>1005</v>
      </c>
      <c r="C73" s="1461"/>
      <c r="D73" s="1461"/>
      <c r="E73" s="1461"/>
      <c r="F73" s="1461"/>
      <c r="G73" s="1461"/>
      <c r="H73" s="1461"/>
      <c r="I73" s="1461"/>
      <c r="J73" s="1461"/>
      <c r="K73" s="1462"/>
      <c r="L73" s="1461"/>
      <c r="M73" s="1305"/>
    </row>
    <row r="74" spans="1:13" ht="18.75" x14ac:dyDescent="0.3">
      <c r="A74" s="13"/>
      <c r="B74" s="1461"/>
      <c r="C74" s="1461"/>
      <c r="D74" s="1461"/>
      <c r="E74" s="1461"/>
      <c r="F74" s="1461"/>
      <c r="G74" s="1461"/>
      <c r="H74" s="1461"/>
      <c r="I74" s="1461"/>
      <c r="J74" s="1461"/>
      <c r="K74" s="1462"/>
      <c r="L74" s="1461"/>
      <c r="M74" s="1305"/>
    </row>
    <row r="75" spans="1:13" ht="18.75" x14ac:dyDescent="0.3">
      <c r="A75" s="13"/>
      <c r="B75" s="1461"/>
      <c r="C75" s="1461"/>
      <c r="D75" s="1461"/>
      <c r="E75" s="1461"/>
      <c r="F75" s="1461"/>
      <c r="G75" s="1461"/>
      <c r="H75" s="1461"/>
      <c r="I75" s="1461"/>
      <c r="J75" s="1461"/>
      <c r="K75" s="1462"/>
      <c r="L75" s="1461"/>
      <c r="M75" s="1305"/>
    </row>
    <row r="76" spans="1:13" ht="18.75" x14ac:dyDescent="0.3">
      <c r="A76" s="13"/>
      <c r="B76" s="1461" t="s">
        <v>1002</v>
      </c>
      <c r="C76" s="1461"/>
      <c r="D76" s="1461"/>
      <c r="E76" s="1461"/>
      <c r="F76" s="1461"/>
      <c r="G76" s="1461"/>
      <c r="H76" s="1461"/>
      <c r="I76" s="1461"/>
      <c r="J76" s="1461"/>
      <c r="K76" s="1461"/>
      <c r="L76" s="1461"/>
      <c r="M76" s="1305"/>
    </row>
    <row r="77" spans="1:13" x14ac:dyDescent="0.25">
      <c r="A77" s="13"/>
      <c r="B77" s="13"/>
      <c r="C77" s="13"/>
      <c r="D77" s="13"/>
      <c r="E77" s="13"/>
      <c r="F77" s="13"/>
      <c r="G77" s="13"/>
      <c r="H77" s="13"/>
      <c r="I77" s="13"/>
      <c r="J77" s="13"/>
      <c r="K77" s="13"/>
      <c r="L77" s="13"/>
    </row>
    <row r="78" spans="1:13" x14ac:dyDescent="0.25">
      <c r="A78" s="13"/>
      <c r="B78" s="13"/>
      <c r="C78" s="13"/>
      <c r="D78" s="13"/>
      <c r="E78" s="13"/>
      <c r="F78" s="13"/>
      <c r="G78" s="13"/>
      <c r="H78" s="13"/>
      <c r="I78" s="13"/>
      <c r="J78" s="13"/>
      <c r="K78" s="13"/>
      <c r="L78" s="13"/>
    </row>
    <row r="79" spans="1:13" x14ac:dyDescent="0.25">
      <c r="A79" s="13"/>
      <c r="B79" s="13"/>
      <c r="C79" s="13"/>
      <c r="D79" s="13"/>
      <c r="E79" s="13"/>
      <c r="F79" s="13"/>
      <c r="G79" s="13"/>
      <c r="H79" s="13"/>
      <c r="I79" s="13"/>
      <c r="J79" s="13"/>
      <c r="K79" s="13"/>
      <c r="L79" s="13"/>
    </row>
    <row r="80" spans="1:13" x14ac:dyDescent="0.25">
      <c r="A80" s="13"/>
      <c r="B80" s="13"/>
      <c r="C80" s="13"/>
      <c r="D80" s="13"/>
      <c r="E80" s="13"/>
      <c r="F80" s="13"/>
      <c r="G80" s="13"/>
      <c r="H80" s="13"/>
      <c r="I80" s="13"/>
      <c r="J80" s="13"/>
      <c r="K80" s="13"/>
      <c r="L80" s="13"/>
    </row>
    <row r="81" spans="1:12" x14ac:dyDescent="0.25">
      <c r="A81" s="13"/>
      <c r="B81" s="13"/>
      <c r="C81" s="13"/>
      <c r="D81" s="13"/>
      <c r="E81" s="13"/>
      <c r="F81" s="13"/>
      <c r="G81" s="13"/>
      <c r="H81" s="13"/>
      <c r="I81" s="13"/>
      <c r="J81" s="13"/>
      <c r="K81" s="13"/>
      <c r="L81" s="13"/>
    </row>
    <row r="82" spans="1:12" x14ac:dyDescent="0.25">
      <c r="A82" s="13"/>
      <c r="B82" s="13"/>
      <c r="C82" s="13"/>
      <c r="D82" s="13"/>
      <c r="E82" s="13"/>
      <c r="F82" s="13"/>
      <c r="G82" s="13"/>
      <c r="H82" s="13"/>
      <c r="I82" s="13"/>
      <c r="J82" s="13"/>
      <c r="K82" s="13"/>
      <c r="L82" s="13"/>
    </row>
    <row r="83" spans="1:12" x14ac:dyDescent="0.25">
      <c r="A83" s="13"/>
      <c r="B83" s="13"/>
      <c r="C83" s="13"/>
      <c r="D83" s="13"/>
      <c r="E83" s="13"/>
      <c r="F83" s="13"/>
      <c r="G83" s="13"/>
      <c r="H83" s="13"/>
      <c r="I83" s="13"/>
      <c r="J83" s="13"/>
      <c r="K83" s="13"/>
      <c r="L83" s="13"/>
    </row>
    <row r="84" spans="1:12" x14ac:dyDescent="0.25">
      <c r="A84" s="13"/>
      <c r="B84" s="13"/>
      <c r="C84" s="13"/>
      <c r="D84" s="13"/>
      <c r="E84" s="13"/>
      <c r="F84" s="13"/>
      <c r="G84" s="13"/>
      <c r="H84" s="13"/>
      <c r="I84" s="13"/>
      <c r="J84" s="13"/>
      <c r="K84" s="13"/>
      <c r="L84" s="13"/>
    </row>
    <row r="85" spans="1:12" x14ac:dyDescent="0.25">
      <c r="A85" s="13"/>
      <c r="B85" s="13"/>
      <c r="C85" s="13"/>
      <c r="D85" s="13"/>
      <c r="E85" s="13"/>
      <c r="F85" s="13"/>
      <c r="G85" s="13"/>
      <c r="H85" s="13"/>
      <c r="I85" s="13"/>
      <c r="J85" s="13"/>
      <c r="K85" s="13"/>
      <c r="L85" s="13"/>
    </row>
    <row r="86" spans="1:12" x14ac:dyDescent="0.25">
      <c r="A86" s="13"/>
      <c r="B86" s="13"/>
      <c r="C86" s="13"/>
      <c r="D86" s="13"/>
      <c r="E86" s="13"/>
      <c r="F86" s="13"/>
      <c r="G86" s="13"/>
      <c r="H86" s="13"/>
      <c r="I86" s="13"/>
      <c r="J86" s="13"/>
      <c r="K86" s="13"/>
      <c r="L86" s="13"/>
    </row>
    <row r="87" spans="1:12" x14ac:dyDescent="0.25">
      <c r="A87" s="13"/>
      <c r="B87" s="13"/>
      <c r="C87" s="13"/>
      <c r="D87" s="13"/>
      <c r="E87" s="13"/>
      <c r="F87" s="13"/>
      <c r="G87" s="13"/>
      <c r="H87" s="13"/>
      <c r="I87" s="13"/>
      <c r="J87" s="13"/>
      <c r="K87" s="13"/>
      <c r="L87" s="13"/>
    </row>
    <row r="88" spans="1:12" x14ac:dyDescent="0.25">
      <c r="A88" s="13"/>
      <c r="B88" s="13"/>
      <c r="C88" s="13"/>
      <c r="D88" s="13"/>
      <c r="E88" s="13"/>
      <c r="F88" s="13"/>
      <c r="G88" s="13"/>
      <c r="H88" s="13"/>
      <c r="I88" s="13"/>
      <c r="J88" s="13"/>
      <c r="K88" s="13"/>
      <c r="L88" s="13"/>
    </row>
    <row r="89" spans="1:12" x14ac:dyDescent="0.25">
      <c r="A89" s="13"/>
      <c r="B89" s="13"/>
      <c r="C89" s="13"/>
      <c r="D89" s="13"/>
      <c r="E89" s="13"/>
      <c r="F89" s="13"/>
      <c r="G89" s="13"/>
      <c r="H89" s="13"/>
      <c r="I89" s="13"/>
      <c r="J89" s="13"/>
      <c r="K89" s="13"/>
      <c r="L89" s="13"/>
    </row>
    <row r="90" spans="1:12" x14ac:dyDescent="0.25">
      <c r="A90" s="13"/>
      <c r="B90" s="13"/>
      <c r="C90" s="13"/>
      <c r="D90" s="13"/>
      <c r="E90" s="13"/>
      <c r="F90" s="13"/>
      <c r="G90" s="13"/>
      <c r="H90" s="13"/>
      <c r="I90" s="13"/>
      <c r="J90" s="13"/>
      <c r="K90" s="13"/>
      <c r="L90" s="13"/>
    </row>
    <row r="91" spans="1:12" x14ac:dyDescent="0.25">
      <c r="A91" s="13"/>
      <c r="B91" s="13"/>
      <c r="C91" s="13"/>
      <c r="D91" s="13"/>
      <c r="E91" s="13"/>
      <c r="F91" s="13"/>
      <c r="G91" s="13"/>
      <c r="H91" s="13"/>
      <c r="I91" s="13"/>
      <c r="J91" s="13"/>
      <c r="K91" s="13"/>
      <c r="L91" s="13"/>
    </row>
    <row r="92" spans="1:12" x14ac:dyDescent="0.25">
      <c r="A92" s="13"/>
      <c r="B92" s="13"/>
      <c r="C92" s="13"/>
      <c r="D92" s="13"/>
      <c r="E92" s="13"/>
      <c r="F92" s="13"/>
      <c r="G92" s="13"/>
      <c r="H92" s="13"/>
      <c r="I92" s="13"/>
      <c r="J92" s="13"/>
      <c r="K92" s="13"/>
      <c r="L92" s="13"/>
    </row>
    <row r="93" spans="1:12" x14ac:dyDescent="0.25">
      <c r="A93" s="13"/>
      <c r="B93" s="13"/>
      <c r="C93" s="13"/>
      <c r="D93" s="13"/>
      <c r="E93" s="13"/>
      <c r="F93" s="13"/>
      <c r="G93" s="13"/>
      <c r="H93" s="13"/>
      <c r="I93" s="13"/>
      <c r="J93" s="13"/>
      <c r="K93" s="13"/>
      <c r="L93" s="13"/>
    </row>
    <row r="94" spans="1:12" x14ac:dyDescent="0.25">
      <c r="A94" s="13"/>
      <c r="B94" s="13"/>
      <c r="C94" s="13"/>
      <c r="D94" s="13"/>
      <c r="E94" s="13"/>
      <c r="F94" s="13"/>
      <c r="G94" s="13"/>
      <c r="H94" s="13"/>
      <c r="I94" s="13"/>
      <c r="J94" s="13"/>
      <c r="K94" s="13"/>
      <c r="L94" s="13"/>
    </row>
    <row r="95" spans="1:12" x14ac:dyDescent="0.25">
      <c r="A95" s="13"/>
      <c r="B95" s="13"/>
      <c r="C95" s="13"/>
      <c r="D95" s="13"/>
      <c r="E95" s="13"/>
      <c r="F95" s="13"/>
      <c r="G95" s="13"/>
      <c r="H95" s="13"/>
      <c r="I95" s="13"/>
      <c r="J95" s="13"/>
      <c r="K95" s="13"/>
      <c r="L95" s="13"/>
    </row>
    <row r="96" spans="1:12" x14ac:dyDescent="0.25">
      <c r="A96" s="13"/>
      <c r="B96" s="13"/>
      <c r="C96" s="13"/>
      <c r="D96" s="13"/>
      <c r="E96" s="13"/>
      <c r="F96" s="13"/>
      <c r="G96" s="13"/>
      <c r="H96" s="13"/>
      <c r="I96" s="13"/>
      <c r="J96" s="13"/>
      <c r="K96" s="13"/>
      <c r="L96" s="13"/>
    </row>
    <row r="97" spans="1:12" x14ac:dyDescent="0.25">
      <c r="A97" s="13"/>
      <c r="B97" s="13"/>
      <c r="C97" s="13"/>
      <c r="D97" s="13"/>
      <c r="E97" s="13"/>
      <c r="F97" s="13"/>
      <c r="G97" s="13"/>
      <c r="H97" s="13"/>
      <c r="I97" s="13"/>
      <c r="J97" s="13"/>
      <c r="K97" s="13"/>
      <c r="L97" s="13"/>
    </row>
    <row r="98" spans="1:12" x14ac:dyDescent="0.25">
      <c r="A98" s="13"/>
      <c r="B98" s="13"/>
      <c r="C98" s="13"/>
      <c r="D98" s="13"/>
      <c r="E98" s="13"/>
      <c r="F98" s="13"/>
      <c r="G98" s="13"/>
      <c r="H98" s="13"/>
      <c r="I98" s="13"/>
      <c r="J98" s="13"/>
      <c r="K98" s="13"/>
      <c r="L98" s="13"/>
    </row>
    <row r="99" spans="1:12" x14ac:dyDescent="0.25">
      <c r="A99" s="13"/>
      <c r="B99" s="13"/>
      <c r="C99" s="13"/>
      <c r="D99" s="13"/>
      <c r="E99" s="13"/>
      <c r="F99" s="13"/>
      <c r="G99" s="13"/>
      <c r="H99" s="13"/>
      <c r="I99" s="13"/>
      <c r="J99" s="13"/>
      <c r="K99" s="13"/>
      <c r="L99" s="13"/>
    </row>
    <row r="100" spans="1:12" x14ac:dyDescent="0.25">
      <c r="A100" s="13"/>
      <c r="B100" s="13"/>
      <c r="C100" s="13"/>
      <c r="D100" s="13"/>
      <c r="E100" s="13"/>
      <c r="F100" s="13"/>
      <c r="G100" s="13"/>
      <c r="H100" s="13"/>
      <c r="I100" s="13"/>
      <c r="J100" s="13"/>
      <c r="K100" s="13"/>
      <c r="L100" s="13"/>
    </row>
    <row r="101" spans="1:12" x14ac:dyDescent="0.25">
      <c r="A101" s="13"/>
      <c r="B101" s="13"/>
      <c r="C101" s="13"/>
      <c r="D101" s="13"/>
      <c r="E101" s="13"/>
      <c r="F101" s="13"/>
      <c r="G101" s="13"/>
      <c r="H101" s="13"/>
      <c r="I101" s="13"/>
      <c r="J101" s="13"/>
      <c r="K101" s="13"/>
      <c r="L101" s="13"/>
    </row>
    <row r="102" spans="1:12" x14ac:dyDescent="0.25">
      <c r="A102" s="13"/>
      <c r="B102" s="13"/>
      <c r="C102" s="13"/>
      <c r="D102" s="13"/>
      <c r="E102" s="13"/>
      <c r="F102" s="13"/>
      <c r="G102" s="13"/>
      <c r="H102" s="13"/>
      <c r="I102" s="13"/>
      <c r="J102" s="13"/>
      <c r="K102" s="13"/>
      <c r="L102" s="13"/>
    </row>
    <row r="103" spans="1:12" x14ac:dyDescent="0.25">
      <c r="A103" s="13"/>
      <c r="B103" s="13"/>
      <c r="C103" s="13"/>
      <c r="D103" s="13"/>
      <c r="E103" s="13"/>
      <c r="F103" s="13"/>
      <c r="G103" s="13"/>
      <c r="H103" s="13"/>
      <c r="I103" s="13"/>
      <c r="J103" s="13"/>
      <c r="K103" s="13"/>
      <c r="L103" s="13"/>
    </row>
    <row r="104" spans="1:12" x14ac:dyDescent="0.25">
      <c r="A104" s="13"/>
      <c r="B104" s="13"/>
      <c r="C104" s="13"/>
      <c r="D104" s="13"/>
      <c r="E104" s="13"/>
      <c r="F104" s="13"/>
      <c r="G104" s="13"/>
      <c r="H104" s="13"/>
      <c r="I104" s="13"/>
      <c r="J104" s="13"/>
      <c r="K104" s="13"/>
      <c r="L104" s="13"/>
    </row>
    <row r="105" spans="1:12" x14ac:dyDescent="0.25">
      <c r="A105" s="13"/>
      <c r="B105" s="13"/>
      <c r="C105" s="13"/>
      <c r="D105" s="13"/>
      <c r="E105" s="13"/>
      <c r="F105" s="13"/>
      <c r="G105" s="13"/>
      <c r="H105" s="13"/>
      <c r="I105" s="13"/>
      <c r="J105" s="13"/>
      <c r="K105" s="13"/>
      <c r="L105" s="13"/>
    </row>
    <row r="106" spans="1:12" x14ac:dyDescent="0.25">
      <c r="A106" s="13"/>
      <c r="B106" s="13"/>
      <c r="C106" s="13"/>
      <c r="D106" s="13"/>
      <c r="E106" s="13"/>
      <c r="F106" s="13"/>
      <c r="G106" s="13"/>
      <c r="H106" s="13"/>
      <c r="I106" s="13"/>
      <c r="J106" s="13"/>
      <c r="K106" s="13"/>
      <c r="L106" s="13"/>
    </row>
    <row r="107" spans="1:12" x14ac:dyDescent="0.25">
      <c r="A107" s="13"/>
      <c r="B107" s="13"/>
      <c r="C107" s="13"/>
      <c r="D107" s="13"/>
      <c r="E107" s="13"/>
      <c r="F107" s="13"/>
      <c r="G107" s="13"/>
      <c r="H107" s="13"/>
      <c r="I107" s="13"/>
      <c r="J107" s="13"/>
      <c r="K107" s="13"/>
      <c r="L107" s="13"/>
    </row>
    <row r="108" spans="1:12" x14ac:dyDescent="0.25">
      <c r="A108" s="13"/>
      <c r="B108" s="13"/>
      <c r="C108" s="13"/>
      <c r="D108" s="13"/>
      <c r="E108" s="13"/>
      <c r="F108" s="13"/>
      <c r="G108" s="13"/>
      <c r="H108" s="13"/>
      <c r="I108" s="13"/>
      <c r="J108" s="13"/>
      <c r="K108" s="13"/>
      <c r="L108" s="13"/>
    </row>
    <row r="109" spans="1:12" x14ac:dyDescent="0.25">
      <c r="A109" s="13"/>
      <c r="B109" s="13"/>
      <c r="C109" s="13"/>
      <c r="D109" s="13"/>
      <c r="E109" s="13"/>
      <c r="F109" s="13"/>
      <c r="G109" s="13"/>
      <c r="H109" s="13"/>
      <c r="I109" s="13"/>
      <c r="J109" s="13"/>
      <c r="K109" s="13"/>
      <c r="L109" s="13"/>
    </row>
    <row r="110" spans="1:12" x14ac:dyDescent="0.25">
      <c r="A110" s="13"/>
      <c r="B110" s="13"/>
      <c r="C110" s="13"/>
      <c r="D110" s="13"/>
      <c r="E110" s="13"/>
      <c r="F110" s="13"/>
      <c r="G110" s="13"/>
      <c r="H110" s="13"/>
      <c r="I110" s="13"/>
      <c r="J110" s="13"/>
      <c r="K110" s="13"/>
      <c r="L110" s="13"/>
    </row>
    <row r="111" spans="1:12" ht="18.75" x14ac:dyDescent="0.3">
      <c r="A111" s="13"/>
      <c r="B111" s="1461" t="s">
        <v>998</v>
      </c>
      <c r="C111" s="13"/>
      <c r="D111" s="13"/>
      <c r="E111" s="13"/>
      <c r="F111" s="13"/>
      <c r="G111" s="13"/>
      <c r="H111" s="13"/>
      <c r="I111" s="13"/>
      <c r="J111" s="13"/>
      <c r="K111" s="13"/>
      <c r="L111" s="13"/>
    </row>
    <row r="112" spans="1:12" ht="18.75" x14ac:dyDescent="0.3">
      <c r="A112" s="13"/>
      <c r="B112" s="1462" t="s">
        <v>1047</v>
      </c>
      <c r="C112" s="13"/>
      <c r="D112" s="13"/>
      <c r="E112" s="13"/>
      <c r="F112" s="13"/>
      <c r="G112" s="13"/>
      <c r="H112" s="13"/>
      <c r="I112" s="13"/>
      <c r="J112" s="13"/>
      <c r="K112" s="13"/>
      <c r="L112" s="13"/>
    </row>
    <row r="113" spans="1:12" ht="18.75" x14ac:dyDescent="0.3">
      <c r="A113" s="13"/>
      <c r="B113" s="1461"/>
      <c r="C113" s="13"/>
      <c r="D113" s="13"/>
      <c r="E113" s="13"/>
      <c r="F113" s="13"/>
      <c r="G113" s="13"/>
      <c r="H113" s="13"/>
      <c r="I113" s="13"/>
      <c r="J113" s="13"/>
      <c r="K113" s="13"/>
      <c r="L113" s="13"/>
    </row>
    <row r="114" spans="1:12" ht="18.75" x14ac:dyDescent="0.3">
      <c r="A114" s="13"/>
      <c r="B114" s="1461" t="s">
        <v>996</v>
      </c>
      <c r="C114" s="13"/>
      <c r="D114" s="13"/>
      <c r="E114" s="13"/>
      <c r="F114" s="13"/>
      <c r="G114" s="13"/>
      <c r="H114" s="13"/>
      <c r="I114" s="13"/>
      <c r="J114" s="13"/>
      <c r="K114" s="13"/>
      <c r="L114" s="13"/>
    </row>
    <row r="115" spans="1:12" ht="18.75" x14ac:dyDescent="0.3">
      <c r="A115" s="13"/>
      <c r="B115" s="1462" t="s">
        <v>1048</v>
      </c>
      <c r="C115" s="13"/>
      <c r="D115" s="13"/>
      <c r="E115" s="13"/>
      <c r="F115" s="13"/>
      <c r="G115" s="13"/>
      <c r="H115" s="13"/>
      <c r="I115" s="13"/>
      <c r="J115" s="13"/>
      <c r="K115" s="13"/>
      <c r="L115" s="13"/>
    </row>
    <row r="116" spans="1:12" ht="18.75" x14ac:dyDescent="0.3">
      <c r="A116" s="13"/>
      <c r="B116" s="1461"/>
      <c r="C116" s="13"/>
      <c r="D116" s="13"/>
      <c r="E116" s="13"/>
      <c r="F116" s="13"/>
      <c r="G116" s="13"/>
      <c r="H116" s="13"/>
      <c r="I116" s="13"/>
      <c r="J116" s="13"/>
      <c r="K116" s="13"/>
      <c r="L116" s="13"/>
    </row>
    <row r="117" spans="1:12" ht="18.75" x14ac:dyDescent="0.3">
      <c r="A117" s="13"/>
      <c r="B117" s="1461" t="s">
        <v>994</v>
      </c>
      <c r="C117" s="13"/>
      <c r="D117" s="13"/>
      <c r="E117" s="13"/>
      <c r="F117" s="13"/>
      <c r="G117" s="13"/>
      <c r="H117" s="13"/>
      <c r="I117" s="13"/>
      <c r="J117" s="13"/>
      <c r="K117" s="13"/>
      <c r="L117" s="13"/>
    </row>
    <row r="118" spans="1:12" ht="18.75" x14ac:dyDescent="0.3">
      <c r="A118" s="13"/>
      <c r="B118" s="1462" t="s">
        <v>1049</v>
      </c>
      <c r="C118" s="13"/>
      <c r="D118" s="13"/>
      <c r="E118" s="13"/>
      <c r="F118" s="13"/>
      <c r="G118" s="13"/>
      <c r="H118" s="13"/>
      <c r="I118" s="13"/>
      <c r="J118" s="13"/>
      <c r="K118" s="13"/>
      <c r="L118" s="13"/>
    </row>
    <row r="119" spans="1:12" x14ac:dyDescent="0.25">
      <c r="A119" s="13"/>
      <c r="B119" s="13"/>
      <c r="C119" s="13"/>
      <c r="D119" s="13"/>
      <c r="E119" s="13"/>
      <c r="F119" s="13"/>
      <c r="G119" s="13"/>
      <c r="H119" s="13"/>
      <c r="I119" s="13"/>
      <c r="J119" s="13"/>
      <c r="K119" s="13"/>
      <c r="L119" s="13"/>
    </row>
    <row r="120" spans="1:12" ht="18.75" x14ac:dyDescent="0.3">
      <c r="A120" s="13"/>
      <c r="B120" s="1461" t="s">
        <v>1050</v>
      </c>
      <c r="C120" s="13"/>
      <c r="D120" s="13"/>
      <c r="E120" s="13"/>
      <c r="F120" s="13"/>
      <c r="G120" s="13"/>
      <c r="H120" s="13"/>
      <c r="I120" s="13"/>
      <c r="J120" s="13"/>
      <c r="K120" s="13"/>
      <c r="L120" s="13"/>
    </row>
    <row r="121" spans="1:12" ht="18.75" x14ac:dyDescent="0.3">
      <c r="A121" s="13"/>
      <c r="B121" s="1462" t="s">
        <v>1051</v>
      </c>
      <c r="C121" s="13"/>
      <c r="D121" s="13"/>
      <c r="E121" s="13"/>
      <c r="F121" s="13"/>
      <c r="G121" s="13"/>
      <c r="H121" s="13"/>
      <c r="I121" s="13"/>
      <c r="J121" s="13"/>
      <c r="K121" s="13"/>
      <c r="L121" s="13"/>
    </row>
    <row r="122" spans="1:12" x14ac:dyDescent="0.25">
      <c r="A122" s="13"/>
      <c r="B122" s="13"/>
      <c r="C122" s="13"/>
      <c r="D122" s="13"/>
      <c r="E122" s="13"/>
      <c r="F122" s="13"/>
      <c r="G122" s="13"/>
      <c r="H122" s="13"/>
      <c r="I122" s="13"/>
      <c r="J122" s="13"/>
      <c r="K122" s="13"/>
      <c r="L122" s="13"/>
    </row>
    <row r="123" spans="1:12" ht="18.75" x14ac:dyDescent="0.3">
      <c r="A123" s="13"/>
      <c r="B123" s="1461" t="s">
        <v>1052</v>
      </c>
      <c r="C123" s="13"/>
      <c r="D123" s="13"/>
      <c r="E123" s="13"/>
      <c r="F123" s="13"/>
      <c r="G123" s="13"/>
      <c r="H123" s="13"/>
      <c r="I123" s="13"/>
      <c r="J123" s="13"/>
      <c r="K123" s="13"/>
      <c r="L123" s="13"/>
    </row>
    <row r="124" spans="1:12" ht="18.75" x14ac:dyDescent="0.3">
      <c r="A124" s="13"/>
      <c r="B124" s="1462" t="s">
        <v>1053</v>
      </c>
      <c r="C124" s="13"/>
      <c r="D124" s="1462" t="s">
        <v>1054</v>
      </c>
      <c r="E124" s="13"/>
      <c r="F124" s="13"/>
      <c r="G124" s="13"/>
      <c r="H124" s="13"/>
      <c r="I124" s="13"/>
      <c r="J124" s="13"/>
      <c r="K124" s="13"/>
      <c r="L124" s="13"/>
    </row>
    <row r="125" spans="1:12" x14ac:dyDescent="0.25">
      <c r="A125" s="13"/>
      <c r="B125" s="13"/>
      <c r="C125" s="13"/>
      <c r="D125" s="13"/>
      <c r="E125" s="13"/>
      <c r="F125" s="13"/>
      <c r="G125" s="13"/>
      <c r="H125" s="13"/>
      <c r="I125" s="13"/>
      <c r="J125" s="13"/>
      <c r="K125" s="13"/>
      <c r="L125" s="13"/>
    </row>
    <row r="126" spans="1:12" ht="18.75" x14ac:dyDescent="0.3">
      <c r="B126" s="1305"/>
    </row>
  </sheetData>
  <mergeCells count="6">
    <mergeCell ref="D4:H5"/>
    <mergeCell ref="L16:N16"/>
    <mergeCell ref="O16:Q16"/>
    <mergeCell ref="F6:K6"/>
    <mergeCell ref="F7:K7"/>
    <mergeCell ref="F8:K8"/>
  </mergeCells>
  <conditionalFormatting sqref="L8">
    <cfRule type="expression" dxfId="944" priority="20">
      <formula>OR(#REF!=1,#REF!=7)</formula>
    </cfRule>
  </conditionalFormatting>
  <conditionalFormatting sqref="L8 J14 M14">
    <cfRule type="cellIs" dxfId="943" priority="16" operator="equal">
      <formula>"C"</formula>
    </cfRule>
    <cfRule type="cellIs" dxfId="942" priority="17" operator="equal">
      <formula>"M"</formula>
    </cfRule>
    <cfRule type="cellIs" dxfId="941" priority="18" operator="equal">
      <formula>"RTT"</formula>
    </cfRule>
    <cfRule type="cellIs" dxfId="940" priority="19" operator="equal">
      <formula>"C"</formula>
    </cfRule>
  </conditionalFormatting>
  <conditionalFormatting sqref="L6">
    <cfRule type="expression" dxfId="939" priority="15">
      <formula>OR(#REF!=1,#REF!=7)</formula>
    </cfRule>
  </conditionalFormatting>
  <conditionalFormatting sqref="L6">
    <cfRule type="cellIs" dxfId="938" priority="11" operator="equal">
      <formula>"C"</formula>
    </cfRule>
    <cfRule type="cellIs" dxfId="937" priority="12" operator="equal">
      <formula>"M"</formula>
    </cfRule>
    <cfRule type="cellIs" dxfId="936" priority="13" operator="equal">
      <formula>"RTT"</formula>
    </cfRule>
    <cfRule type="cellIs" dxfId="935" priority="14" operator="equal">
      <formula>"C"</formula>
    </cfRule>
  </conditionalFormatting>
  <conditionalFormatting sqref="L7">
    <cfRule type="expression" dxfId="934" priority="10">
      <formula>OR(#REF!=1,#REF!=7)</formula>
    </cfRule>
  </conditionalFormatting>
  <conditionalFormatting sqref="L7">
    <cfRule type="cellIs" dxfId="933" priority="6" operator="equal">
      <formula>"C"</formula>
    </cfRule>
    <cfRule type="cellIs" dxfId="932" priority="7" operator="equal">
      <formula>"M"</formula>
    </cfRule>
    <cfRule type="cellIs" dxfId="931" priority="8" operator="equal">
      <formula>"RTT"</formula>
    </cfRule>
    <cfRule type="cellIs" dxfId="930" priority="9" operator="equal">
      <formula>"C"</formula>
    </cfRule>
  </conditionalFormatting>
  <conditionalFormatting sqref="J12:J14">
    <cfRule type="expression" dxfId="929" priority="5">
      <formula>OR(K$25=1,K$25=7)</formula>
    </cfRule>
  </conditionalFormatting>
  <conditionalFormatting sqref="M12:M14">
    <cfRule type="expression" dxfId="928" priority="432">
      <formula>OR(L$25=1,L$25=7)</formula>
    </cfRule>
  </conditionalFormatting>
  <dataValidations count="1">
    <dataValidation type="list" allowBlank="1" showInputMessage="1" showErrorMessage="1" sqref="K16" xr:uid="{4BF03E29-DE5E-48F3-A2C2-FBE699A2408D}">
      <formula1>#REF!</formula1>
    </dataValidation>
  </dataValidations>
  <hyperlinks>
    <hyperlink ref="B18" r:id="rId1" location=":~:text=Solution%20%3A%20utiliser%20la%20mise%20en%20forme%20conditionnelle&amp;text=%3B2%20%3D%20cet%20argument%20permet%20d,%3D%20dimanche%2C%202%20%3D%20lundi%E2%80%A6" display="https://people.unil.ch/jacquelinefrey/2016/04/excel-creer-un-planning-avec-mise-en-forme-conditionnelle/#:~:text=Solution%20%3A%20utiliser%20la%20mise%20en%20forme%20conditionnelle&amp;text=%3B2%20%3D%20cet%20argument%20permet%20d,%3D%20dimanche%2C%202%20%3D%20lundi%E2%80%A6" xr:uid="{DEE330F1-A583-4F27-B568-BFACBE79BF37}"/>
    <hyperlink ref="B34" r:id="rId2" xr:uid="{F61DE86C-0498-4CF1-9799-51FF103DDDA0}"/>
    <hyperlink ref="B36" r:id="rId3" xr:uid="{D23BFCA0-1AD1-464A-9D61-60454C998380}"/>
    <hyperlink ref="B38" r:id="rId4" xr:uid="{EF8232BE-20B6-4A16-BABA-FEE3A2702A74}"/>
    <hyperlink ref="B40" r:id="rId5" xr:uid="{67275B09-14F7-4023-92EE-72E4B40BB729}"/>
    <hyperlink ref="B42" r:id="rId6" xr:uid="{C95C2CBB-652F-440A-8D2D-7FC620F15CE6}"/>
    <hyperlink ref="B44" r:id="rId7" xr:uid="{8BCDB5B7-361A-4A64-BA60-3E7196E7BE72}"/>
    <hyperlink ref="B46" r:id="rId8" xr:uid="{8ABE9179-DECB-418C-ABDF-F468367126DD}"/>
    <hyperlink ref="B48" r:id="rId9" xr:uid="{E0F293DF-EFA0-45AE-85C3-B2BFB0350866}"/>
    <hyperlink ref="B50" r:id="rId10" xr:uid="{C12D1B42-C992-42C0-834D-874944D9443E}"/>
    <hyperlink ref="B52" r:id="rId11" xr:uid="{B119E143-4F2F-4BEE-9BFB-1133A8AA8CB6}"/>
    <hyperlink ref="B54" r:id="rId12" xr:uid="{BDA2978D-046D-4DE6-A3D8-DE680D4E73AF}"/>
    <hyperlink ref="B56" r:id="rId13" xr:uid="{29195BC6-DADD-44B3-BD1D-E88CB022CDA3}"/>
    <hyperlink ref="B58" r:id="rId14" xr:uid="{71FD5B81-1DC1-43A1-86EE-C916F6BF3D8E}"/>
    <hyperlink ref="B60" r:id="rId15" xr:uid="{A71D00CB-90B4-47B4-8ADE-48FCF7C172A4}"/>
    <hyperlink ref="B62" r:id="rId16" xr:uid="{54AE1413-8124-4C96-99DC-5D973B16EB1E}"/>
    <hyperlink ref="B64" r:id="rId17" xr:uid="{667534CB-7F73-4ABF-96A0-24901E54DBAF}"/>
    <hyperlink ref="B16" r:id="rId18" xr:uid="{DA574C37-63F5-4B91-8651-CF822FDBDF7F}"/>
    <hyperlink ref="B67" r:id="rId19" xr:uid="{1FE63BEB-B80A-411D-943C-258A17F5FEE3}"/>
    <hyperlink ref="B73" r:id="rId20" xr:uid="{751C86AF-E8A3-409C-B142-F89CE6E195C0}"/>
    <hyperlink ref="B70" r:id="rId21" xr:uid="{ABFD88C7-6A97-447A-B8DF-748AA0B17A52}"/>
    <hyperlink ref="B112" r:id="rId22" xr:uid="{488D57E5-882F-4DA9-8769-A20236175B40}"/>
    <hyperlink ref="B115" r:id="rId23" xr:uid="{1BF12386-8683-422C-B97E-02716D0105A6}"/>
    <hyperlink ref="B118" r:id="rId24" xr:uid="{147F8404-BD07-43CC-897A-A34046764371}"/>
    <hyperlink ref="B121" r:id="rId25" xr:uid="{115DD593-069E-43BD-BDC2-71EB79FF18C2}"/>
    <hyperlink ref="B124" r:id="rId26" xr:uid="{1E208A04-485E-4065-8FC7-76DF39E91A23}"/>
    <hyperlink ref="D124" r:id="rId27" xr:uid="{6B9978F5-AEEB-40E3-99AF-3E209902DFEA}"/>
  </hyperlinks>
  <pageMargins left="0.7" right="0.7" top="0.75" bottom="0.75" header="0.3" footer="0.3"/>
  <pageSetup paperSize="9" orientation="portrait" r:id="rId28"/>
  <drawing r:id="rId29"/>
  <legacy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2C57-5DE5-4FA7-A8CC-FA0170A5719F}">
  <sheetPr codeName="Feuil4"/>
  <dimension ref="A1:CE114"/>
  <sheetViews>
    <sheetView zoomScaleNormal="100" workbookViewId="0">
      <selection activeCell="BX36" sqref="BX36"/>
    </sheetView>
  </sheetViews>
  <sheetFormatPr baseColWidth="10" defaultRowHeight="15.75" x14ac:dyDescent="0.25"/>
  <cols>
    <col min="1" max="1" width="3.625" customWidth="1"/>
    <col min="3" max="33" width="5.625" customWidth="1"/>
    <col min="39" max="39" width="15.125" customWidth="1"/>
    <col min="43" max="43" width="28.625" customWidth="1"/>
    <col min="78" max="78" width="17.5" customWidth="1"/>
    <col min="79" max="79" width="42.25" customWidth="1"/>
    <col min="80" max="80" width="27.75" customWidth="1"/>
    <col min="82" max="82" width="18" customWidth="1"/>
    <col min="83" max="83" width="21.625" customWidth="1"/>
  </cols>
  <sheetData>
    <row r="1" spans="1:83" ht="23.25" x14ac:dyDescent="0.25">
      <c r="A1" s="1483" t="s">
        <v>680</v>
      </c>
      <c r="B1" s="1484"/>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5"/>
      <c r="AK1" s="672" t="s">
        <v>809</v>
      </c>
      <c r="AL1" s="13"/>
      <c r="AM1" s="13"/>
      <c r="AN1" s="13"/>
      <c r="AO1" s="13"/>
      <c r="AP1" s="13"/>
      <c r="AQ1" s="13"/>
    </row>
    <row r="2" spans="1:83" ht="23.25" customHeight="1" x14ac:dyDescent="0.25">
      <c r="A2" s="13"/>
      <c r="B2" s="13"/>
      <c r="C2" s="1467">
        <v>2020</v>
      </c>
      <c r="D2" s="1467"/>
      <c r="E2" s="1467"/>
      <c r="F2" s="1467"/>
      <c r="G2" s="1467"/>
      <c r="H2" s="13"/>
      <c r="I2" s="1487" t="s">
        <v>55</v>
      </c>
      <c r="J2" s="1487"/>
      <c r="K2" s="1487"/>
      <c r="L2" s="1487"/>
      <c r="M2" s="1487"/>
      <c r="N2" s="1487"/>
      <c r="O2" s="1487"/>
      <c r="P2" s="1487"/>
      <c r="Q2" s="1487"/>
      <c r="R2" s="34"/>
      <c r="S2" s="13"/>
      <c r="T2" s="13"/>
      <c r="U2" s="1488" t="s">
        <v>5</v>
      </c>
      <c r="V2" s="1488"/>
      <c r="W2" s="1488"/>
      <c r="X2" s="1488"/>
      <c r="Y2" s="1488"/>
      <c r="Z2" s="1488"/>
      <c r="AA2" s="1488"/>
      <c r="AB2" s="1488"/>
      <c r="AC2" s="1488"/>
      <c r="AD2" s="1488"/>
      <c r="AE2" s="1488"/>
      <c r="AF2" s="1488"/>
      <c r="AG2" s="1488"/>
      <c r="AH2" s="13"/>
      <c r="AI2" s="36"/>
      <c r="AJ2" s="35"/>
      <c r="AK2" s="36" t="s">
        <v>494</v>
      </c>
      <c r="AL2" s="35"/>
      <c r="AM2" s="13"/>
      <c r="AN2" s="13"/>
      <c r="AO2" s="13"/>
      <c r="AP2" s="13"/>
      <c r="AQ2" s="13"/>
      <c r="BZ2" s="1489" t="s">
        <v>892</v>
      </c>
      <c r="CA2" s="1489"/>
      <c r="CB2" s="1489"/>
      <c r="CC2" s="1489"/>
      <c r="CD2" s="1489"/>
      <c r="CE2" s="1489"/>
    </row>
    <row r="3" spans="1:83" ht="15.75" customHeight="1" x14ac:dyDescent="0.25">
      <c r="A3" s="13"/>
      <c r="B3" s="13"/>
      <c r="C3" s="1467"/>
      <c r="D3" s="1467"/>
      <c r="E3" s="1467"/>
      <c r="F3" s="1467"/>
      <c r="G3" s="1467"/>
      <c r="H3" s="13"/>
      <c r="I3" s="1487"/>
      <c r="J3" s="1487"/>
      <c r="K3" s="1487"/>
      <c r="L3" s="1487"/>
      <c r="M3" s="1487"/>
      <c r="N3" s="1487"/>
      <c r="O3" s="1487"/>
      <c r="P3" s="1487"/>
      <c r="Q3" s="1487"/>
      <c r="R3" s="34"/>
      <c r="S3" s="13"/>
      <c r="T3" s="13"/>
      <c r="U3" s="1488"/>
      <c r="V3" s="1488"/>
      <c r="W3" s="1488"/>
      <c r="X3" s="1488"/>
      <c r="Y3" s="1488"/>
      <c r="Z3" s="1488"/>
      <c r="AA3" s="1488"/>
      <c r="AB3" s="1488"/>
      <c r="AC3" s="1488"/>
      <c r="AD3" s="1488"/>
      <c r="AE3" s="1488"/>
      <c r="AF3" s="1488"/>
      <c r="AG3" s="1488"/>
      <c r="AH3" s="13"/>
      <c r="AI3" s="36"/>
      <c r="AJ3" s="35"/>
      <c r="AK3" s="36" t="s">
        <v>797</v>
      </c>
      <c r="AL3" s="35"/>
      <c r="AM3" s="13"/>
      <c r="AN3" s="13"/>
      <c r="AO3" s="13"/>
      <c r="AP3" s="13"/>
      <c r="AQ3" s="13"/>
      <c r="AR3" s="13"/>
      <c r="BZ3" s="1489"/>
      <c r="CA3" s="1489"/>
      <c r="CB3" s="1489"/>
      <c r="CC3" s="1489"/>
      <c r="CD3" s="1489"/>
      <c r="CE3" s="1489"/>
    </row>
    <row r="4" spans="1:83" ht="15.75" customHeight="1" thickBot="1" x14ac:dyDescent="0.3">
      <c r="A4" s="13"/>
      <c r="B4" s="660"/>
      <c r="C4" s="662"/>
      <c r="D4" s="665"/>
      <c r="E4" s="638" t="s">
        <v>362</v>
      </c>
      <c r="F4" s="665">
        <f>SUM(AH12,AH17,AH22,AH27,AH32,AH37,AH42,AH47,AH52,AH57,AH62,AH67)</f>
        <v>0</v>
      </c>
      <c r="G4" s="668" t="s">
        <v>820</v>
      </c>
      <c r="H4" s="13"/>
      <c r="I4" s="1486" t="s">
        <v>56</v>
      </c>
      <c r="J4" s="1486"/>
      <c r="K4" s="1486"/>
      <c r="L4" s="1486"/>
      <c r="M4" s="1486"/>
      <c r="N4" s="1486"/>
      <c r="O4" s="1486"/>
      <c r="P4" s="1486"/>
      <c r="Q4" s="1486"/>
      <c r="R4" s="13"/>
      <c r="S4" s="13"/>
      <c r="T4" s="13"/>
      <c r="U4" s="13"/>
      <c r="V4" s="13"/>
      <c r="W4" s="13"/>
      <c r="X4" s="13"/>
      <c r="Y4" s="13"/>
      <c r="Z4" s="13"/>
      <c r="AA4" s="13"/>
      <c r="AB4" s="13"/>
      <c r="AC4" s="13"/>
      <c r="AD4" s="13"/>
      <c r="AE4" s="13"/>
      <c r="AF4" s="13"/>
      <c r="AG4" s="16" t="s">
        <v>52</v>
      </c>
      <c r="AH4" s="13"/>
      <c r="AI4" s="674"/>
      <c r="AJ4" s="674"/>
      <c r="AK4" s="13"/>
      <c r="AL4" s="13"/>
      <c r="AM4" s="13"/>
      <c r="AN4" s="13"/>
      <c r="AO4" s="13"/>
      <c r="AP4" s="13"/>
      <c r="AQ4" s="13"/>
      <c r="AR4" s="13"/>
      <c r="BZ4" s="1490">
        <f>C2</f>
        <v>2020</v>
      </c>
      <c r="CA4" s="1491"/>
      <c r="CB4" s="1492"/>
      <c r="CC4" s="563"/>
      <c r="CD4" s="1493">
        <f>BZ20+1</f>
        <v>2022</v>
      </c>
      <c r="CE4" s="1494"/>
    </row>
    <row r="5" spans="1:83" ht="18.75" x14ac:dyDescent="0.25">
      <c r="A5" s="13"/>
      <c r="B5" s="660" t="s">
        <v>818</v>
      </c>
      <c r="C5" s="663" t="s">
        <v>800</v>
      </c>
      <c r="D5" s="665">
        <f>SUM(B11,B16,B21,B26,B31,B36,B41,B46,B51,B56,B61,B66)</f>
        <v>0</v>
      </c>
      <c r="E5" s="666" t="s">
        <v>7</v>
      </c>
      <c r="F5" s="665">
        <f>SUM(B12,B17,B22,B27,B32,B37,B42,B47,B52,B57,B62,B67)</f>
        <v>4</v>
      </c>
      <c r="G5" s="669" t="s">
        <v>700</v>
      </c>
      <c r="H5" s="13"/>
      <c r="I5" s="1486"/>
      <c r="J5" s="1486"/>
      <c r="K5" s="1486"/>
      <c r="L5" s="1486"/>
      <c r="M5" s="1486"/>
      <c r="N5" s="1486"/>
      <c r="O5" s="1486"/>
      <c r="P5" s="1486"/>
      <c r="Q5" s="1486"/>
      <c r="R5" s="13"/>
      <c r="S5" s="13"/>
      <c r="T5" s="15" t="s">
        <v>53</v>
      </c>
      <c r="U5" s="17" t="s">
        <v>35</v>
      </c>
      <c r="V5" s="18"/>
      <c r="W5" s="18"/>
      <c r="X5" s="13"/>
      <c r="Y5" s="13"/>
      <c r="Z5" s="13"/>
      <c r="AA5" s="13"/>
      <c r="AB5" s="13"/>
      <c r="AC5" s="13"/>
      <c r="AD5" s="13"/>
      <c r="AE5" s="13"/>
      <c r="AF5" s="13"/>
      <c r="AG5" s="13"/>
      <c r="AH5" s="13"/>
      <c r="AI5" s="674"/>
      <c r="AJ5" s="674"/>
      <c r="AK5" s="594" t="s">
        <v>829</v>
      </c>
      <c r="AL5" s="13"/>
      <c r="AM5" s="13"/>
      <c r="AN5" s="13"/>
      <c r="AO5" s="13"/>
      <c r="AP5" s="13"/>
      <c r="AQ5" s="13"/>
      <c r="AR5" s="13"/>
      <c r="BZ5" s="359">
        <f t="shared" ref="BZ5:BZ17" si="0">CA5</f>
        <v>43831</v>
      </c>
      <c r="CA5" s="360">
        <f>DATE(BZ4,1,1)</f>
        <v>43831</v>
      </c>
      <c r="CB5" s="361" t="s">
        <v>721</v>
      </c>
      <c r="CC5" s="563"/>
      <c r="CD5" s="1495" t="s">
        <v>722</v>
      </c>
      <c r="CE5" s="1496"/>
    </row>
    <row r="6" spans="1:83" ht="18.75" x14ac:dyDescent="0.25">
      <c r="A6" s="13"/>
      <c r="B6" s="660" t="s">
        <v>819</v>
      </c>
      <c r="C6" s="636" t="s">
        <v>8</v>
      </c>
      <c r="D6" s="665">
        <f>SUM(AH8,AH13,AH18,AH23,AH28,AH33,AH38,AH43,AH48,AH53,AH58,AH63)</f>
        <v>0</v>
      </c>
      <c r="E6" s="637" t="s">
        <v>360</v>
      </c>
      <c r="F6" s="665">
        <f>SUM(AH9,AH14,AH19,AH24,AH29,AH34,AH39,AH44,AH49,AH54,AH59,AH64)</f>
        <v>0</v>
      </c>
      <c r="G6" s="670" t="s">
        <v>821</v>
      </c>
      <c r="H6" s="13"/>
      <c r="I6" s="1486"/>
      <c r="J6" s="1486"/>
      <c r="K6" s="1486"/>
      <c r="L6" s="1486"/>
      <c r="M6" s="1486"/>
      <c r="N6" s="1486"/>
      <c r="O6" s="1486"/>
      <c r="P6" s="1486"/>
      <c r="Q6" s="1486"/>
      <c r="R6" s="13"/>
      <c r="S6" s="675" t="s">
        <v>845</v>
      </c>
      <c r="T6" s="13"/>
      <c r="U6" s="13"/>
      <c r="V6" s="13"/>
      <c r="W6" s="13"/>
      <c r="X6" s="13"/>
      <c r="Y6" s="13"/>
      <c r="Z6" s="13"/>
      <c r="AA6" s="13"/>
      <c r="AB6" s="13"/>
      <c r="AC6" s="13"/>
      <c r="AD6" s="13"/>
      <c r="AE6" s="13"/>
      <c r="AF6" s="13"/>
      <c r="AG6" s="13"/>
      <c r="AH6" s="13"/>
      <c r="AI6" s="674"/>
      <c r="AJ6" s="674"/>
      <c r="AK6" s="36" t="s">
        <v>795</v>
      </c>
      <c r="AL6" s="13"/>
      <c r="AM6" s="13"/>
      <c r="AN6" s="13"/>
      <c r="AO6" s="13"/>
      <c r="AP6" s="13"/>
      <c r="AQ6" s="13"/>
      <c r="BZ6" s="359">
        <f t="shared" si="0"/>
        <v>43933</v>
      </c>
      <c r="CA6" s="360">
        <f>DATE(BZ4,3,29.56+0.979*MOD(204-11*MOD(BZ4,19),30)-WEEKDAY(DATE(BZ4,3,28.56+0.979*MOD(204-11*MOD(BZ4,19),30))))</f>
        <v>43933</v>
      </c>
      <c r="CB6" s="361" t="s">
        <v>585</v>
      </c>
      <c r="CC6" s="563"/>
      <c r="CD6" s="362" t="s">
        <v>723</v>
      </c>
      <c r="CE6" s="363">
        <f>DATE(CD4-1,12,25)</f>
        <v>44555</v>
      </c>
    </row>
    <row r="7" spans="1:83" ht="19.5" thickBot="1" x14ac:dyDescent="0.35">
      <c r="A7" s="13"/>
      <c r="B7" s="661" t="s">
        <v>822</v>
      </c>
      <c r="C7" s="664" t="s">
        <v>6</v>
      </c>
      <c r="D7" s="665">
        <f>SUM(AH10,AH15,AH20,AH25,AH30,AH35,AH40,AH45,AH50,AH55,AH60,AH65)</f>
        <v>6</v>
      </c>
      <c r="E7" s="667" t="s">
        <v>799</v>
      </c>
      <c r="F7" s="665">
        <f>SUM(AH11,AH16,AH21,AH26,AH31,AH36,AH41,AH46,AH51,AH56,AH61,AH66)</f>
        <v>0</v>
      </c>
      <c r="G7" s="671" t="s">
        <v>823</v>
      </c>
      <c r="H7" s="13"/>
      <c r="I7" s="13"/>
      <c r="J7" s="13"/>
      <c r="K7" s="13"/>
      <c r="L7" s="13"/>
      <c r="M7" s="13"/>
      <c r="N7" s="13"/>
      <c r="O7" s="13"/>
      <c r="P7" s="13"/>
      <c r="Q7" s="13"/>
      <c r="R7" s="13"/>
      <c r="S7" s="263" t="s">
        <v>847</v>
      </c>
      <c r="T7" s="13"/>
      <c r="U7" s="13"/>
      <c r="V7" s="13"/>
      <c r="W7" s="13"/>
      <c r="X7" s="13"/>
      <c r="Y7" s="13"/>
      <c r="Z7" s="13"/>
      <c r="AA7" s="13"/>
      <c r="AB7" s="13"/>
      <c r="AC7" s="13"/>
      <c r="AD7" s="13"/>
      <c r="AE7" s="13"/>
      <c r="AF7" s="13"/>
      <c r="AG7" s="13"/>
      <c r="AH7" s="13"/>
      <c r="AK7" s="36" t="s">
        <v>796</v>
      </c>
      <c r="AL7" s="13"/>
      <c r="AM7" s="13"/>
      <c r="AN7" s="13"/>
      <c r="AO7" s="13"/>
      <c r="AP7" s="13"/>
      <c r="AQ7" s="13"/>
      <c r="BZ7" s="359">
        <f t="shared" si="0"/>
        <v>43934</v>
      </c>
      <c r="CA7" s="360">
        <f>CA6+1</f>
        <v>43934</v>
      </c>
      <c r="CB7" s="361" t="s">
        <v>725</v>
      </c>
      <c r="CC7" s="563"/>
      <c r="CD7" s="364" t="s">
        <v>721</v>
      </c>
      <c r="CE7" s="365">
        <f>DATE(CD4,1,1)</f>
        <v>44562</v>
      </c>
    </row>
    <row r="8" spans="1:83" ht="14.25" customHeight="1" x14ac:dyDescent="0.25">
      <c r="A8" s="650"/>
      <c r="B8" s="20">
        <f>DATE($C$2,MONTH(1&amp;"/"&amp;C9),1)</f>
        <v>43831</v>
      </c>
      <c r="C8" s="14">
        <f>B8</f>
        <v>43831</v>
      </c>
      <c r="D8" s="14">
        <f>IFERROR(IF(C8+1&gt;$B$9,"",C8+1),"")</f>
        <v>43832</v>
      </c>
      <c r="E8" s="14">
        <f t="shared" ref="E8:AG8" si="1">IFERROR(IF(D8+1&gt;$B$9,"",D8+1),"")</f>
        <v>43833</v>
      </c>
      <c r="F8" s="14">
        <f t="shared" si="1"/>
        <v>43834</v>
      </c>
      <c r="G8" s="14">
        <f t="shared" si="1"/>
        <v>43835</v>
      </c>
      <c r="H8" s="14">
        <f t="shared" si="1"/>
        <v>43836</v>
      </c>
      <c r="I8" s="14">
        <f t="shared" si="1"/>
        <v>43837</v>
      </c>
      <c r="J8" s="14">
        <f t="shared" si="1"/>
        <v>43838</v>
      </c>
      <c r="K8" s="14">
        <f t="shared" si="1"/>
        <v>43839</v>
      </c>
      <c r="L8" s="14">
        <f t="shared" si="1"/>
        <v>43840</v>
      </c>
      <c r="M8" s="14">
        <f t="shared" si="1"/>
        <v>43841</v>
      </c>
      <c r="N8" s="14">
        <f t="shared" si="1"/>
        <v>43842</v>
      </c>
      <c r="O8" s="14">
        <f t="shared" si="1"/>
        <v>43843</v>
      </c>
      <c r="P8" s="14">
        <f t="shared" si="1"/>
        <v>43844</v>
      </c>
      <c r="Q8" s="14">
        <f t="shared" si="1"/>
        <v>43845</v>
      </c>
      <c r="R8" s="14">
        <f t="shared" si="1"/>
        <v>43846</v>
      </c>
      <c r="S8" s="14">
        <f t="shared" si="1"/>
        <v>43847</v>
      </c>
      <c r="T8" s="14">
        <f t="shared" si="1"/>
        <v>43848</v>
      </c>
      <c r="U8" s="14">
        <f t="shared" si="1"/>
        <v>43849</v>
      </c>
      <c r="V8" s="14">
        <f t="shared" si="1"/>
        <v>43850</v>
      </c>
      <c r="W8" s="14">
        <f t="shared" si="1"/>
        <v>43851</v>
      </c>
      <c r="X8" s="14">
        <f t="shared" si="1"/>
        <v>43852</v>
      </c>
      <c r="Y8" s="14">
        <f t="shared" si="1"/>
        <v>43853</v>
      </c>
      <c r="Z8" s="14">
        <f t="shared" si="1"/>
        <v>43854</v>
      </c>
      <c r="AA8" s="14">
        <f t="shared" si="1"/>
        <v>43855</v>
      </c>
      <c r="AB8" s="14">
        <f t="shared" si="1"/>
        <v>43856</v>
      </c>
      <c r="AC8" s="14">
        <f t="shared" si="1"/>
        <v>43857</v>
      </c>
      <c r="AD8" s="14">
        <f t="shared" si="1"/>
        <v>43858</v>
      </c>
      <c r="AE8" s="14">
        <f t="shared" si="1"/>
        <v>43859</v>
      </c>
      <c r="AF8" s="14">
        <f t="shared" si="1"/>
        <v>43860</v>
      </c>
      <c r="AG8" s="14">
        <f t="shared" si="1"/>
        <v>43861</v>
      </c>
      <c r="AH8" s="647">
        <f>COUNTIF(C12:AG12,AI8)</f>
        <v>0</v>
      </c>
      <c r="AI8" s="640" t="s">
        <v>8</v>
      </c>
      <c r="AK8" s="36" t="s">
        <v>794</v>
      </c>
      <c r="AL8" s="13"/>
      <c r="AM8" s="13"/>
      <c r="AN8" s="13"/>
      <c r="AO8" s="13"/>
      <c r="AP8" s="13"/>
      <c r="AQ8" s="13"/>
      <c r="BZ8" s="359">
        <f t="shared" si="0"/>
        <v>43952</v>
      </c>
      <c r="CA8" s="360">
        <f>DATE(BZ4,5,1)</f>
        <v>43952</v>
      </c>
      <c r="CB8" s="361" t="s">
        <v>726</v>
      </c>
      <c r="CC8" s="563"/>
      <c r="CD8" s="362" t="s">
        <v>585</v>
      </c>
      <c r="CE8" s="363">
        <f>ROUND(DATE(CD4,4,MOD(234-11*MOD(CD4,19),30))/7,)*7-6</f>
        <v>44668</v>
      </c>
    </row>
    <row r="9" spans="1:83" ht="18.75" customHeight="1" x14ac:dyDescent="0.25">
      <c r="A9" s="13"/>
      <c r="B9" s="21">
        <f>EOMONTH(B8,0)</f>
        <v>43861</v>
      </c>
      <c r="C9" s="1479" t="s">
        <v>36</v>
      </c>
      <c r="D9" s="1480"/>
      <c r="E9" s="1480"/>
      <c r="F9" s="1480"/>
      <c r="G9" s="1480"/>
      <c r="H9" s="1480"/>
      <c r="I9" s="1480"/>
      <c r="J9" s="1480"/>
      <c r="K9" s="1480"/>
      <c r="L9" s="1480"/>
      <c r="M9" s="1480"/>
      <c r="N9" s="1480"/>
      <c r="O9" s="1480"/>
      <c r="P9" s="1480"/>
      <c r="Q9" s="1480"/>
      <c r="R9" s="1480"/>
      <c r="S9" s="1480"/>
      <c r="T9" s="1480"/>
      <c r="U9" s="1480"/>
      <c r="V9" s="1480"/>
      <c r="W9" s="1480"/>
      <c r="X9" s="1480"/>
      <c r="Y9" s="1480"/>
      <c r="Z9" s="1480"/>
      <c r="AA9" s="1480"/>
      <c r="AB9" s="1480"/>
      <c r="AC9" s="1480"/>
      <c r="AD9" s="1480"/>
      <c r="AE9" s="1480"/>
      <c r="AF9" s="1480"/>
      <c r="AG9" s="1481"/>
      <c r="AH9" s="648">
        <f>COUNTIF(C12:AG12,AI9)</f>
        <v>0</v>
      </c>
      <c r="AI9" s="629" t="s">
        <v>360</v>
      </c>
      <c r="AK9" s="36" t="s">
        <v>793</v>
      </c>
      <c r="AL9" s="13"/>
      <c r="AM9" s="13"/>
      <c r="AN9" s="13"/>
      <c r="AO9" s="1482" t="s">
        <v>491</v>
      </c>
      <c r="AP9" s="13"/>
      <c r="AQ9" s="13"/>
      <c r="BZ9" s="359">
        <f t="shared" si="0"/>
        <v>43959</v>
      </c>
      <c r="CA9" s="360">
        <f>DATE(BZ4,5,8)</f>
        <v>43959</v>
      </c>
      <c r="CB9" s="361" t="s">
        <v>728</v>
      </c>
      <c r="CC9" s="563"/>
      <c r="CD9" s="362" t="s">
        <v>725</v>
      </c>
      <c r="CE9" s="363">
        <f>CE8+1</f>
        <v>44669</v>
      </c>
    </row>
    <row r="10" spans="1:83" ht="18.75" x14ac:dyDescent="0.25">
      <c r="A10" s="654"/>
      <c r="B10" s="657"/>
      <c r="C10" s="6">
        <f>IFERROR(DAY(C8),"")</f>
        <v>1</v>
      </c>
      <c r="D10" s="3">
        <f>IFERROR(DAY(D8),"")</f>
        <v>2</v>
      </c>
      <c r="E10" s="3">
        <f t="shared" ref="E10:AG10" si="2">IFERROR(DAY(E8),"")</f>
        <v>3</v>
      </c>
      <c r="F10" s="3">
        <f t="shared" si="2"/>
        <v>4</v>
      </c>
      <c r="G10" s="3">
        <f t="shared" si="2"/>
        <v>5</v>
      </c>
      <c r="H10" s="3">
        <f t="shared" si="2"/>
        <v>6</v>
      </c>
      <c r="I10" s="3">
        <f t="shared" si="2"/>
        <v>7</v>
      </c>
      <c r="J10" s="3">
        <f t="shared" si="2"/>
        <v>8</v>
      </c>
      <c r="K10" s="3">
        <f t="shared" si="2"/>
        <v>9</v>
      </c>
      <c r="L10" s="3">
        <f t="shared" si="2"/>
        <v>10</v>
      </c>
      <c r="M10" s="3">
        <f t="shared" si="2"/>
        <v>11</v>
      </c>
      <c r="N10" s="3">
        <f t="shared" si="2"/>
        <v>12</v>
      </c>
      <c r="O10" s="3">
        <f t="shared" si="2"/>
        <v>13</v>
      </c>
      <c r="P10" s="3">
        <f t="shared" si="2"/>
        <v>14</v>
      </c>
      <c r="Q10" s="3">
        <f t="shared" si="2"/>
        <v>15</v>
      </c>
      <c r="R10" s="3">
        <f t="shared" si="2"/>
        <v>16</v>
      </c>
      <c r="S10" s="3">
        <f t="shared" si="2"/>
        <v>17</v>
      </c>
      <c r="T10" s="3">
        <f t="shared" si="2"/>
        <v>18</v>
      </c>
      <c r="U10" s="3">
        <f t="shared" si="2"/>
        <v>19</v>
      </c>
      <c r="V10" s="3">
        <f t="shared" si="2"/>
        <v>20</v>
      </c>
      <c r="W10" s="3">
        <f t="shared" si="2"/>
        <v>21</v>
      </c>
      <c r="X10" s="3">
        <f t="shared" si="2"/>
        <v>22</v>
      </c>
      <c r="Y10" s="3">
        <f t="shared" si="2"/>
        <v>23</v>
      </c>
      <c r="Z10" s="3">
        <f t="shared" si="2"/>
        <v>24</v>
      </c>
      <c r="AA10" s="3">
        <f t="shared" si="2"/>
        <v>25</v>
      </c>
      <c r="AB10" s="3">
        <f t="shared" si="2"/>
        <v>26</v>
      </c>
      <c r="AC10" s="3">
        <f t="shared" si="2"/>
        <v>27</v>
      </c>
      <c r="AD10" s="3">
        <f t="shared" si="2"/>
        <v>28</v>
      </c>
      <c r="AE10" s="3">
        <f t="shared" si="2"/>
        <v>29</v>
      </c>
      <c r="AF10" s="3">
        <f t="shared" si="2"/>
        <v>30</v>
      </c>
      <c r="AG10" s="7">
        <f t="shared" si="2"/>
        <v>31</v>
      </c>
      <c r="AH10" s="648">
        <f>COUNTIF(C12:AG12,AI10)</f>
        <v>0</v>
      </c>
      <c r="AI10" s="10" t="s">
        <v>6</v>
      </c>
      <c r="AK10" s="36" t="s">
        <v>792</v>
      </c>
      <c r="AL10" s="13"/>
      <c r="AM10" s="13"/>
      <c r="AN10" s="13"/>
      <c r="AO10" s="1482"/>
      <c r="AP10" s="13"/>
      <c r="AQ10" s="13"/>
      <c r="BZ10" s="359">
        <f t="shared" si="0"/>
        <v>43972</v>
      </c>
      <c r="CA10" s="360">
        <f>CA6+39</f>
        <v>43972</v>
      </c>
      <c r="CB10" s="361" t="s">
        <v>729</v>
      </c>
      <c r="CC10" s="563"/>
      <c r="CD10" s="362" t="s">
        <v>726</v>
      </c>
      <c r="CE10" s="363">
        <f>DATE(CD4,5,1)</f>
        <v>44682</v>
      </c>
    </row>
    <row r="11" spans="1:83" ht="18.75" x14ac:dyDescent="0.25">
      <c r="A11" s="655" t="s">
        <v>800</v>
      </c>
      <c r="B11" s="658">
        <f>COUNTIF(C12:AG12,A11)</f>
        <v>0</v>
      </c>
      <c r="C11" s="5">
        <f>IF(C8="","",WEEKDAY(C8,1))</f>
        <v>4</v>
      </c>
      <c r="D11" s="8">
        <f>IF(D8="","",WEEKDAY(D8,1))</f>
        <v>5</v>
      </c>
      <c r="E11" s="8">
        <f t="shared" ref="E11:AC11" si="3">IF(E8="","",WEEKDAY(E8,1))</f>
        <v>6</v>
      </c>
      <c r="F11" s="8">
        <f t="shared" si="3"/>
        <v>7</v>
      </c>
      <c r="G11" s="8">
        <f t="shared" si="3"/>
        <v>1</v>
      </c>
      <c r="H11" s="8">
        <f t="shared" si="3"/>
        <v>2</v>
      </c>
      <c r="I11" s="8">
        <f t="shared" si="3"/>
        <v>3</v>
      </c>
      <c r="J11" s="8">
        <f t="shared" si="3"/>
        <v>4</v>
      </c>
      <c r="K11" s="8">
        <f t="shared" si="3"/>
        <v>5</v>
      </c>
      <c r="L11" s="8">
        <f t="shared" si="3"/>
        <v>6</v>
      </c>
      <c r="M11" s="8">
        <f t="shared" si="3"/>
        <v>7</v>
      </c>
      <c r="N11" s="8">
        <f t="shared" si="3"/>
        <v>1</v>
      </c>
      <c r="O11" s="8">
        <f t="shared" si="3"/>
        <v>2</v>
      </c>
      <c r="P11" s="8">
        <f t="shared" si="3"/>
        <v>3</v>
      </c>
      <c r="Q11" s="8">
        <f t="shared" si="3"/>
        <v>4</v>
      </c>
      <c r="R11" s="8">
        <f t="shared" si="3"/>
        <v>5</v>
      </c>
      <c r="S11" s="8">
        <f t="shared" si="3"/>
        <v>6</v>
      </c>
      <c r="T11" s="8">
        <f t="shared" si="3"/>
        <v>7</v>
      </c>
      <c r="U11" s="8">
        <f t="shared" si="3"/>
        <v>1</v>
      </c>
      <c r="V11" s="8">
        <f t="shared" si="3"/>
        <v>2</v>
      </c>
      <c r="W11" s="8">
        <f t="shared" si="3"/>
        <v>3</v>
      </c>
      <c r="X11" s="8">
        <f t="shared" si="3"/>
        <v>4</v>
      </c>
      <c r="Y11" s="8">
        <f t="shared" si="3"/>
        <v>5</v>
      </c>
      <c r="Z11" s="8">
        <f t="shared" si="3"/>
        <v>6</v>
      </c>
      <c r="AA11" s="8">
        <f t="shared" si="3"/>
        <v>7</v>
      </c>
      <c r="AB11" s="8">
        <f t="shared" si="3"/>
        <v>1</v>
      </c>
      <c r="AC11" s="8">
        <f t="shared" si="3"/>
        <v>2</v>
      </c>
      <c r="AD11" s="8">
        <f>IF(AD8="","",WEEKDAY(AD8,1))</f>
        <v>3</v>
      </c>
      <c r="AE11" s="8">
        <f>IF(AE8="","",WEEKDAY(AE8,1))</f>
        <v>4</v>
      </c>
      <c r="AF11" s="8">
        <f t="shared" ref="AF11:AG11" si="4">IF(AF8="","",WEEKDAY(AF8,1))</f>
        <v>5</v>
      </c>
      <c r="AG11" s="9">
        <f t="shared" si="4"/>
        <v>6</v>
      </c>
      <c r="AH11" s="648">
        <f>COUNTIF(C12:AG12,AI11)</f>
        <v>0</v>
      </c>
      <c r="AI11" s="633" t="s">
        <v>799</v>
      </c>
      <c r="AK11" s="13"/>
      <c r="AL11" s="13"/>
      <c r="AM11" s="13"/>
      <c r="AN11" s="13"/>
      <c r="AO11" s="1482"/>
      <c r="AP11" s="13"/>
      <c r="AQ11" s="675" t="s">
        <v>1036</v>
      </c>
      <c r="BZ11" s="359">
        <f t="shared" si="0"/>
        <v>43982</v>
      </c>
      <c r="CA11" s="360">
        <f>CA6+49</f>
        <v>43982</v>
      </c>
      <c r="CB11" s="361" t="s">
        <v>731</v>
      </c>
      <c r="CC11" s="563"/>
      <c r="CD11" s="362" t="s">
        <v>728</v>
      </c>
      <c r="CE11" s="363">
        <f>DATE(CD4,5,8)</f>
        <v>44689</v>
      </c>
    </row>
    <row r="12" spans="1:83" ht="19.5" thickBot="1" x14ac:dyDescent="0.3">
      <c r="A12" s="656" t="s">
        <v>7</v>
      </c>
      <c r="B12" s="659">
        <f>COUNTIF(C12:AG12,A12)</f>
        <v>0</v>
      </c>
      <c r="C12" s="24" t="str">
        <f t="array" ref="C12">IF(OR(C11=1,C11=7),"",IFERROR(INDEX($AK$15:$AN$114,MATCH(1,(C8&gt;=$AM$15:$AM$114)*($AN$15:$AN$114&gt;=C8)*($AK$15:$AK$114=$U$2),0),2),""))</f>
        <v/>
      </c>
      <c r="D12" s="25" t="str">
        <f t="array" ref="D12">IF(OR(D11=1,D11=7),"",IFERROR(INDEX($AK$15:$AN$114,MATCH(1,(D8&gt;=$AM$15:$AM$114)*($AN$15:$AN$114&gt;=D8)*($AK$15:$AK$114=$U$2),0),2),""))</f>
        <v/>
      </c>
      <c r="E12" s="25" t="str">
        <f t="array" ref="E12">IF(OR(E11=1,E11=7),"",IFERROR(INDEX($AK$15:$AN$114,MATCH(1,(E8&gt;=$AM$15:$AM$114)*($AN$15:$AN$114&gt;=E8)*($AK$15:$AK$114=$U$2),0),2),""))</f>
        <v/>
      </c>
      <c r="F12" s="25" t="str">
        <f t="array" ref="F12">IF(OR(F11=1,F11=7),"",IFERROR(INDEX($AK$15:$AN$114,MATCH(1,(F8&gt;=$AM$15:$AM$114)*($AN$15:$AN$114&gt;=F8)*($AK$15:$AK$114=$U$2),0),2),""))</f>
        <v/>
      </c>
      <c r="G12" s="25" t="str">
        <f t="array" ref="G12">IF(OR(G11=1,G11=7),"",IFERROR(INDEX($AK$15:$AN$114,MATCH(1,(G8&gt;=$AM$15:$AM$114)*($AN$15:$AN$114&gt;=G8)*($AK$15:$AK$114=$U$2),0),2),""))</f>
        <v/>
      </c>
      <c r="H12" s="25" t="str">
        <f t="array" ref="H12">IF(OR(H11=1,H11=7),"",IFERROR(INDEX($AK$15:$AN$114,MATCH(1,(H8&gt;=$AM$15:$AM$114)*($AN$15:$AN$114&gt;=H8)*($AK$15:$AK$114=$U$2),0),2),""))</f>
        <v/>
      </c>
      <c r="I12" s="25" t="str">
        <f t="array" ref="I12">IF(OR(I11=1,I11=7),"",IFERROR(INDEX($AK$15:$AN$114,MATCH(1,(I8&gt;=$AM$15:$AM$114)*($AN$15:$AN$114&gt;=I8)*($AK$15:$AK$114=$U$2),0),2),""))</f>
        <v/>
      </c>
      <c r="J12" s="25" t="str">
        <f t="array" ref="J12">IF(OR(J11=1,J11=7),"",IFERROR(INDEX($AK$15:$AN$114,MATCH(1,(J8&gt;=$AM$15:$AM$114)*($AN$15:$AN$114&gt;=J8)*($AK$15:$AK$114=$U$2),0),2),""))</f>
        <v/>
      </c>
      <c r="K12" s="25" t="str">
        <f t="array" ref="K12">IF(OR(K11=1,K11=7),"",IFERROR(INDEX($AK$15:$AN$114,MATCH(1,(K8&gt;=$AM$15:$AM$114)*($AN$15:$AN$114&gt;=K8)*($AK$15:$AK$114=$U$2),0),2),""))</f>
        <v/>
      </c>
      <c r="L12" s="25" t="str">
        <f t="array" ref="L12">IF(OR(L11=1,L11=7),"",IFERROR(INDEX($AK$15:$AN$114,MATCH(1,(L8&gt;=$AM$15:$AM$114)*($AN$15:$AN$114&gt;=L8)*($AK$15:$AK$114=$U$2),0),2),""))</f>
        <v/>
      </c>
      <c r="M12" s="25" t="str">
        <f t="array" ref="M12">IF(OR(M11=1,M11=7),"",IFERROR(INDEX($AK$15:$AN$114,MATCH(1,(M8&gt;=$AM$15:$AM$114)*($AN$15:$AN$114&gt;=M8)*($AK$15:$AK$114=$U$2),0),2),""))</f>
        <v/>
      </c>
      <c r="N12" s="25" t="str">
        <f t="array" ref="N12">IF(OR(N11=1,N11=7),"",IFERROR(INDEX($AK$15:$AN$114,MATCH(1,(N8&gt;=$AM$15:$AM$114)*($AN$15:$AN$114&gt;=N8)*($AK$15:$AK$114=$U$2),0),2),""))</f>
        <v/>
      </c>
      <c r="O12" s="25" t="str">
        <f t="array" ref="O12">IF(OR(O11=1,O11=7),"",IFERROR(INDEX($AK$15:$AN$114,MATCH(1,(O8&gt;=$AM$15:$AM$114)*($AN$15:$AN$114&gt;=O8)*($AK$15:$AK$114=$U$2),0),2),""))</f>
        <v/>
      </c>
      <c r="P12" s="25" t="str">
        <f t="array" ref="P12">IF(OR(P11=1,P11=7),"",IFERROR(INDEX($AK$15:$AN$114,MATCH(1,(P8&gt;=$AM$15:$AM$114)*($AN$15:$AN$114&gt;=P8)*($AK$15:$AK$114=$U$2),0),2),""))</f>
        <v/>
      </c>
      <c r="Q12" s="25" t="str">
        <f t="array" ref="Q12">IF(OR(Q11=1,Q11=7),"",IFERROR(INDEX($AK$15:$AN$114,MATCH(1,(Q8&gt;=$AM$15:$AM$114)*($AN$15:$AN$114&gt;=Q8)*($AK$15:$AK$114=$U$2),0),2),""))</f>
        <v/>
      </c>
      <c r="R12" s="25" t="str">
        <f t="array" ref="R12">IF(OR(R11=1,R11=7),"",IFERROR(INDEX($AK$15:$AN$114,MATCH(1,(R8&gt;=$AM$15:$AM$114)*($AN$15:$AN$114&gt;=R8)*($AK$15:$AK$114=$U$2),0),2),""))</f>
        <v/>
      </c>
      <c r="S12" s="25" t="str">
        <f t="array" ref="S12">IF(OR(S11=1,S11=7),"",IFERROR(INDEX($AK$15:$AN$114,MATCH(1,(S8&gt;=$AM$15:$AM$114)*($AN$15:$AN$114&gt;=S8)*($AK$15:$AK$114=$U$2),0),2),""))</f>
        <v/>
      </c>
      <c r="T12" s="25" t="str">
        <f t="array" ref="T12">IF(OR(T11=1,T11=7),"",IFERROR(INDEX($AK$15:$AN$114,MATCH(1,(T8&gt;=$AM$15:$AM$114)*($AN$15:$AN$114&gt;=T8)*($AK$15:$AK$114=$U$2),0),2),""))</f>
        <v/>
      </c>
      <c r="U12" s="25" t="str">
        <f t="array" ref="U12">IF(OR(U11=1,U11=7),"",IFERROR(INDEX($AK$15:$AN$114,MATCH(1,(U8&gt;=$AM$15:$AM$114)*($AN$15:$AN$114&gt;=U8)*($AK$15:$AK$114=$U$2),0),2),""))</f>
        <v/>
      </c>
      <c r="V12" s="25" t="str">
        <f t="array" ref="V12">IF(OR(V11=1,V11=7),"",IFERROR(INDEX($AK$15:$AN$114,MATCH(1,(V8&gt;=$AM$15:$AM$114)*($AN$15:$AN$114&gt;=V8)*($AK$15:$AK$114=$U$2),0),2),""))</f>
        <v/>
      </c>
      <c r="W12" s="25" t="str">
        <f t="array" ref="W12">IF(OR(W11=1,W11=7),"",IFERROR(INDEX($AK$15:$AN$114,MATCH(1,(W8&gt;=$AM$15:$AM$114)*($AN$15:$AN$114&gt;=W8)*($AK$15:$AK$114=$U$2),0),2),""))</f>
        <v/>
      </c>
      <c r="X12" s="25" t="str">
        <f t="array" ref="X12">IF(OR(X11=1,X11=7),"",IFERROR(INDEX($AK$15:$AN$114,MATCH(1,(X8&gt;=$AM$15:$AM$114)*($AN$15:$AN$114&gt;=X8)*($AK$15:$AK$114=$U$2),0),2),""))</f>
        <v/>
      </c>
      <c r="Y12" s="25" t="str">
        <f t="array" ref="Y12">IF(OR(Y11=1,Y11=7),"",IFERROR(INDEX($AK$15:$AN$114,MATCH(1,(Y8&gt;=$AM$15:$AM$114)*($AN$15:$AN$114&gt;=Y8)*($AK$15:$AK$114=$U$2),0),2),""))</f>
        <v/>
      </c>
      <c r="Z12" s="25" t="str">
        <f t="array" ref="Z12">IF(OR(Z11=1,Z11=7),"",IFERROR(INDEX($AK$15:$AN$114,MATCH(1,(Z8&gt;=$AM$15:$AM$114)*($AN$15:$AN$114&gt;=Z8)*($AK$15:$AK$114=$U$2),0),2),""))</f>
        <v/>
      </c>
      <c r="AA12" s="25" t="str">
        <f t="array" ref="AA12">IF(OR(AA11=1,AA11=7),"",IFERROR(INDEX($AK$15:$AN$114,MATCH(1,(AA8&gt;=$AM$15:$AM$114)*($AN$15:$AN$114&gt;=AA8)*($AK$15:$AK$114=$U$2),0),2),""))</f>
        <v/>
      </c>
      <c r="AB12" s="25" t="str">
        <f t="array" ref="AB12">IF(OR(AB11=1,AB11=7),"",IFERROR(INDEX($AK$15:$AN$114,MATCH(1,(AB8&gt;=$AM$15:$AM$114)*($AN$15:$AN$114&gt;=AB8)*($AK$15:$AK$114=$U$2),0),2),""))</f>
        <v/>
      </c>
      <c r="AC12" s="25" t="str">
        <f t="array" ref="AC12">IF(OR(AC11=1,AC11=7),"",IFERROR(INDEX($AK$15:$AN$114,MATCH(1,(AC8&gt;=$AM$15:$AM$114)*($AN$15:$AN$114&gt;=AC8)*($AK$15:$AK$114=$U$2),0),2),""))</f>
        <v/>
      </c>
      <c r="AD12" s="25" t="str">
        <f t="array" ref="AD12">IF(OR(AD11=1,AD11=7),"",IFERROR(INDEX($AK$15:$AN$114,MATCH(1,(AD8&gt;=$AM$15:$AM$114)*($AN$15:$AN$114&gt;=AD8)*($AK$15:$AK$114=$U$2),0),2),""))</f>
        <v/>
      </c>
      <c r="AE12" s="25" t="str">
        <f t="array" ref="AE12">IF(OR(AE11=1,AE11=7),"",IFERROR(INDEX($AK$15:$AN$114,MATCH(1,(AE8&gt;=$AM$15:$AM$114)*($AN$15:$AN$114&gt;=AE8)*($AK$15:$AK$114=$U$2),0),2),""))</f>
        <v/>
      </c>
      <c r="AF12" s="25" t="str">
        <f t="array" ref="AF12">IF(OR(AF11=1,AF11=7),"",IFERROR(INDEX($AK$15:$AN$114,MATCH(1,(AF8&gt;=$AM$15:$AM$114)*($AN$15:$AN$114&gt;=AF8)*($AK$15:$AK$114=$U$2),0),2),""))</f>
        <v/>
      </c>
      <c r="AG12" s="26" t="str">
        <f t="array" ref="AG12">IF(OR(AG11=1,AG11=7),"",IFERROR(INDEX($AK$15:$AN$114,MATCH(1,(AG8&gt;=$AM$15:$AM$114)*($AN$15:$AN$114&gt;=AG8)*($AK$15:$AK$114=$U$2),0),2),""))</f>
        <v/>
      </c>
      <c r="AH12" s="648">
        <f>COUNTIF(C12:AG12,AI12)</f>
        <v>0</v>
      </c>
      <c r="AI12" s="639" t="s">
        <v>362</v>
      </c>
      <c r="AK12" s="623" t="s">
        <v>828</v>
      </c>
      <c r="AL12" s="13"/>
      <c r="AM12" s="13"/>
      <c r="AN12" s="13"/>
      <c r="AO12" s="13"/>
      <c r="AP12" s="13"/>
      <c r="AQ12" s="675" t="s">
        <v>1037</v>
      </c>
      <c r="BZ12" s="359">
        <f t="shared" si="0"/>
        <v>43983</v>
      </c>
      <c r="CA12" s="360">
        <f>CA11+1</f>
        <v>43983</v>
      </c>
      <c r="CB12" s="361" t="s">
        <v>732</v>
      </c>
      <c r="CC12" s="563"/>
      <c r="CD12" s="362" t="s">
        <v>729</v>
      </c>
      <c r="CE12" s="363">
        <f>CE8+39</f>
        <v>44707</v>
      </c>
    </row>
    <row r="13" spans="1:83" ht="14.25" customHeight="1" x14ac:dyDescent="0.25">
      <c r="A13" s="13"/>
      <c r="B13" s="20">
        <f>DATE($C$2,MONTH(1&amp;"/"&amp;C14),1)</f>
        <v>43862</v>
      </c>
      <c r="C13" s="14">
        <f>B13</f>
        <v>43862</v>
      </c>
      <c r="D13" s="14">
        <f>IFERROR(IF(C13+1&gt;$B$14,"",C13+1),"")</f>
        <v>43863</v>
      </c>
      <c r="E13" s="14">
        <f t="shared" ref="E13:AG13" si="5">IFERROR(IF(D13+1&gt;$B$14,"",D13+1),"")</f>
        <v>43864</v>
      </c>
      <c r="F13" s="14">
        <f t="shared" si="5"/>
        <v>43865</v>
      </c>
      <c r="G13" s="14">
        <f t="shared" si="5"/>
        <v>43866</v>
      </c>
      <c r="H13" s="14">
        <f t="shared" si="5"/>
        <v>43867</v>
      </c>
      <c r="I13" s="14">
        <f t="shared" si="5"/>
        <v>43868</v>
      </c>
      <c r="J13" s="14">
        <f t="shared" si="5"/>
        <v>43869</v>
      </c>
      <c r="K13" s="14">
        <f t="shared" si="5"/>
        <v>43870</v>
      </c>
      <c r="L13" s="14">
        <f t="shared" si="5"/>
        <v>43871</v>
      </c>
      <c r="M13" s="14">
        <f t="shared" si="5"/>
        <v>43872</v>
      </c>
      <c r="N13" s="14">
        <f t="shared" si="5"/>
        <v>43873</v>
      </c>
      <c r="O13" s="14">
        <f t="shared" si="5"/>
        <v>43874</v>
      </c>
      <c r="P13" s="14">
        <f t="shared" si="5"/>
        <v>43875</v>
      </c>
      <c r="Q13" s="14">
        <f t="shared" si="5"/>
        <v>43876</v>
      </c>
      <c r="R13" s="14">
        <f t="shared" si="5"/>
        <v>43877</v>
      </c>
      <c r="S13" s="14">
        <f t="shared" si="5"/>
        <v>43878</v>
      </c>
      <c r="T13" s="14">
        <f t="shared" si="5"/>
        <v>43879</v>
      </c>
      <c r="U13" s="14">
        <f t="shared" si="5"/>
        <v>43880</v>
      </c>
      <c r="V13" s="14">
        <f t="shared" si="5"/>
        <v>43881</v>
      </c>
      <c r="W13" s="14">
        <f t="shared" si="5"/>
        <v>43882</v>
      </c>
      <c r="X13" s="14">
        <f t="shared" si="5"/>
        <v>43883</v>
      </c>
      <c r="Y13" s="14">
        <f t="shared" si="5"/>
        <v>43884</v>
      </c>
      <c r="Z13" s="14">
        <f t="shared" si="5"/>
        <v>43885</v>
      </c>
      <c r="AA13" s="14">
        <f t="shared" si="5"/>
        <v>43886</v>
      </c>
      <c r="AB13" s="14">
        <f t="shared" si="5"/>
        <v>43887</v>
      </c>
      <c r="AC13" s="14">
        <f t="shared" si="5"/>
        <v>43888</v>
      </c>
      <c r="AD13" s="14">
        <f t="shared" si="5"/>
        <v>43889</v>
      </c>
      <c r="AE13" s="14">
        <f t="shared" si="5"/>
        <v>43890</v>
      </c>
      <c r="AF13" s="14" t="str">
        <f t="shared" si="5"/>
        <v/>
      </c>
      <c r="AG13" s="14" t="str">
        <f t="shared" si="5"/>
        <v/>
      </c>
      <c r="AH13" s="647">
        <f>COUNTIF(C17:AG17,AI13)</f>
        <v>0</v>
      </c>
      <c r="AI13" s="640" t="s">
        <v>8</v>
      </c>
      <c r="AK13" s="1473" t="s">
        <v>798</v>
      </c>
      <c r="AL13" s="1473"/>
      <c r="AM13" s="1473"/>
      <c r="AN13" s="1473"/>
      <c r="AO13" s="1473"/>
      <c r="AQ13" s="1472" t="s">
        <v>833</v>
      </c>
      <c r="AR13" s="1472"/>
      <c r="BZ13" s="359">
        <f t="shared" si="0"/>
        <v>44026</v>
      </c>
      <c r="CA13" s="360">
        <f>DATE(BZ4,7,14)</f>
        <v>44026</v>
      </c>
      <c r="CB13" s="361" t="s">
        <v>733</v>
      </c>
      <c r="CC13" s="563"/>
      <c r="CD13" s="362" t="s">
        <v>731</v>
      </c>
      <c r="CE13" s="363">
        <f>CE8+49</f>
        <v>44717</v>
      </c>
    </row>
    <row r="14" spans="1:83" ht="18.75" x14ac:dyDescent="0.25">
      <c r="A14" s="13"/>
      <c r="B14" s="21">
        <f>EOMONTH(B13,0)</f>
        <v>43890</v>
      </c>
      <c r="C14" s="1479" t="s">
        <v>1038</v>
      </c>
      <c r="D14" s="1480"/>
      <c r="E14" s="1480"/>
      <c r="F14" s="1480"/>
      <c r="G14" s="1480"/>
      <c r="H14" s="1480"/>
      <c r="I14" s="1480"/>
      <c r="J14" s="1480"/>
      <c r="K14" s="1480"/>
      <c r="L14" s="1480"/>
      <c r="M14" s="1480"/>
      <c r="N14" s="1480"/>
      <c r="O14" s="1480"/>
      <c r="P14" s="1480"/>
      <c r="Q14" s="1480"/>
      <c r="R14" s="1480"/>
      <c r="S14" s="1480"/>
      <c r="T14" s="1480"/>
      <c r="U14" s="1480"/>
      <c r="V14" s="1480"/>
      <c r="W14" s="1480"/>
      <c r="X14" s="1480"/>
      <c r="Y14" s="1480"/>
      <c r="Z14" s="1480"/>
      <c r="AA14" s="1480"/>
      <c r="AB14" s="1480"/>
      <c r="AC14" s="1480"/>
      <c r="AD14" s="1480"/>
      <c r="AE14" s="1480"/>
      <c r="AF14" s="1480"/>
      <c r="AG14" s="1481"/>
      <c r="AH14" s="648">
        <f>COUNTIF(C17:AG17,AI14)</f>
        <v>0</v>
      </c>
      <c r="AI14" s="629" t="s">
        <v>360</v>
      </c>
      <c r="AK14" t="s">
        <v>0</v>
      </c>
      <c r="AL14" t="s">
        <v>3</v>
      </c>
      <c r="AM14" t="s">
        <v>1</v>
      </c>
      <c r="AN14" t="s">
        <v>2</v>
      </c>
      <c r="AO14" s="30" t="s">
        <v>54</v>
      </c>
      <c r="AQ14" t="s">
        <v>10</v>
      </c>
      <c r="AR14" t="s">
        <v>11</v>
      </c>
      <c r="BZ14" s="359">
        <f t="shared" si="0"/>
        <v>44058</v>
      </c>
      <c r="CA14" s="360">
        <f>DATE(BZ4,8,15)</f>
        <v>44058</v>
      </c>
      <c r="CB14" s="361" t="s">
        <v>586</v>
      </c>
      <c r="CC14" s="563"/>
      <c r="CD14" s="362" t="s">
        <v>732</v>
      </c>
      <c r="CE14" s="363">
        <f>CE8+50</f>
        <v>44718</v>
      </c>
    </row>
    <row r="15" spans="1:83" ht="18.75" x14ac:dyDescent="0.25">
      <c r="A15" s="654"/>
      <c r="B15" s="657"/>
      <c r="C15" s="6">
        <f t="shared" ref="C15:AG15" si="6">IFERROR(DAY(C13),"")</f>
        <v>1</v>
      </c>
      <c r="D15" s="3">
        <f t="shared" si="6"/>
        <v>2</v>
      </c>
      <c r="E15" s="3">
        <f t="shared" si="6"/>
        <v>3</v>
      </c>
      <c r="F15" s="3">
        <f t="shared" si="6"/>
        <v>4</v>
      </c>
      <c r="G15" s="3">
        <f t="shared" si="6"/>
        <v>5</v>
      </c>
      <c r="H15" s="3">
        <f t="shared" si="6"/>
        <v>6</v>
      </c>
      <c r="I15" s="3">
        <f t="shared" si="6"/>
        <v>7</v>
      </c>
      <c r="J15" s="3">
        <f t="shared" si="6"/>
        <v>8</v>
      </c>
      <c r="K15" s="3">
        <f t="shared" si="6"/>
        <v>9</v>
      </c>
      <c r="L15" s="3">
        <f t="shared" si="6"/>
        <v>10</v>
      </c>
      <c r="M15" s="3">
        <f t="shared" si="6"/>
        <v>11</v>
      </c>
      <c r="N15" s="3">
        <f t="shared" si="6"/>
        <v>12</v>
      </c>
      <c r="O15" s="3">
        <f t="shared" si="6"/>
        <v>13</v>
      </c>
      <c r="P15" s="3">
        <f t="shared" si="6"/>
        <v>14</v>
      </c>
      <c r="Q15" s="3">
        <f t="shared" si="6"/>
        <v>15</v>
      </c>
      <c r="R15" s="3">
        <f t="shared" si="6"/>
        <v>16</v>
      </c>
      <c r="S15" s="3">
        <f t="shared" si="6"/>
        <v>17</v>
      </c>
      <c r="T15" s="3">
        <f t="shared" si="6"/>
        <v>18</v>
      </c>
      <c r="U15" s="3">
        <f t="shared" si="6"/>
        <v>19</v>
      </c>
      <c r="V15" s="3">
        <f t="shared" si="6"/>
        <v>20</v>
      </c>
      <c r="W15" s="3">
        <f t="shared" si="6"/>
        <v>21</v>
      </c>
      <c r="X15" s="3">
        <f t="shared" si="6"/>
        <v>22</v>
      </c>
      <c r="Y15" s="3">
        <f t="shared" si="6"/>
        <v>23</v>
      </c>
      <c r="Z15" s="3">
        <f t="shared" si="6"/>
        <v>24</v>
      </c>
      <c r="AA15" s="3">
        <f t="shared" si="6"/>
        <v>25</v>
      </c>
      <c r="AB15" s="3">
        <f t="shared" si="6"/>
        <v>26</v>
      </c>
      <c r="AC15" s="3">
        <f t="shared" si="6"/>
        <v>27</v>
      </c>
      <c r="AD15" s="3">
        <f t="shared" si="6"/>
        <v>28</v>
      </c>
      <c r="AE15" s="3">
        <f t="shared" si="6"/>
        <v>29</v>
      </c>
      <c r="AF15" s="3" t="str">
        <f t="shared" si="6"/>
        <v/>
      </c>
      <c r="AG15" s="7" t="str">
        <f t="shared" si="6"/>
        <v/>
      </c>
      <c r="AH15" s="648">
        <f>COUNTIF(C17:AG17,AI15)</f>
        <v>0</v>
      </c>
      <c r="AI15" s="10" t="s">
        <v>6</v>
      </c>
      <c r="AJ15" s="13">
        <v>1</v>
      </c>
      <c r="AK15" t="s">
        <v>4</v>
      </c>
      <c r="AL15" s="22" t="s">
        <v>6</v>
      </c>
      <c r="AM15" s="31">
        <v>43862</v>
      </c>
      <c r="AN15" s="31">
        <v>43865</v>
      </c>
      <c r="AO15" s="635">
        <f>Absences26810[[#This Row],[debut]]</f>
        <v>43862</v>
      </c>
      <c r="AQ15" s="597"/>
      <c r="AR15" s="630"/>
      <c r="BZ15" s="359">
        <f t="shared" si="0"/>
        <v>44136</v>
      </c>
      <c r="CA15" s="360">
        <f>DATE(BZ4,11,1)</f>
        <v>44136</v>
      </c>
      <c r="CB15" s="361" t="s">
        <v>735</v>
      </c>
      <c r="CC15" s="563"/>
      <c r="CD15" s="362" t="s">
        <v>733</v>
      </c>
      <c r="CE15" s="363">
        <f>DATE(CD4,7,14)</f>
        <v>44756</v>
      </c>
    </row>
    <row r="16" spans="1:83" ht="18.75" x14ac:dyDescent="0.25">
      <c r="A16" s="655" t="s">
        <v>800</v>
      </c>
      <c r="B16" s="658">
        <f>COUNTIF(C17:AG17,A16)</f>
        <v>0</v>
      </c>
      <c r="C16" s="5">
        <f t="shared" ref="C16:AC16" si="7">IF(C13="","",WEEKDAY(C13,1))</f>
        <v>7</v>
      </c>
      <c r="D16" s="8">
        <f t="shared" si="7"/>
        <v>1</v>
      </c>
      <c r="E16" s="8">
        <f t="shared" si="7"/>
        <v>2</v>
      </c>
      <c r="F16" s="8">
        <f t="shared" si="7"/>
        <v>3</v>
      </c>
      <c r="G16" s="8">
        <f t="shared" si="7"/>
        <v>4</v>
      </c>
      <c r="H16" s="8">
        <f t="shared" si="7"/>
        <v>5</v>
      </c>
      <c r="I16" s="8">
        <f t="shared" si="7"/>
        <v>6</v>
      </c>
      <c r="J16" s="8">
        <f t="shared" si="7"/>
        <v>7</v>
      </c>
      <c r="K16" s="8">
        <f t="shared" si="7"/>
        <v>1</v>
      </c>
      <c r="L16" s="8">
        <f t="shared" si="7"/>
        <v>2</v>
      </c>
      <c r="M16" s="8">
        <f t="shared" si="7"/>
        <v>3</v>
      </c>
      <c r="N16" s="8">
        <f t="shared" si="7"/>
        <v>4</v>
      </c>
      <c r="O16" s="8">
        <f t="shared" si="7"/>
        <v>5</v>
      </c>
      <c r="P16" s="8">
        <f t="shared" si="7"/>
        <v>6</v>
      </c>
      <c r="Q16" s="8">
        <f t="shared" si="7"/>
        <v>7</v>
      </c>
      <c r="R16" s="8">
        <f t="shared" si="7"/>
        <v>1</v>
      </c>
      <c r="S16" s="8">
        <f t="shared" si="7"/>
        <v>2</v>
      </c>
      <c r="T16" s="8">
        <f t="shared" si="7"/>
        <v>3</v>
      </c>
      <c r="U16" s="8">
        <f t="shared" si="7"/>
        <v>4</v>
      </c>
      <c r="V16" s="8">
        <f t="shared" si="7"/>
        <v>5</v>
      </c>
      <c r="W16" s="8">
        <f t="shared" si="7"/>
        <v>6</v>
      </c>
      <c r="X16" s="8">
        <f t="shared" si="7"/>
        <v>7</v>
      </c>
      <c r="Y16" s="8">
        <f t="shared" si="7"/>
        <v>1</v>
      </c>
      <c r="Z16" s="8">
        <f t="shared" si="7"/>
        <v>2</v>
      </c>
      <c r="AA16" s="8">
        <f t="shared" si="7"/>
        <v>3</v>
      </c>
      <c r="AB16" s="8">
        <f t="shared" si="7"/>
        <v>4</v>
      </c>
      <c r="AC16" s="8">
        <f t="shared" si="7"/>
        <v>5</v>
      </c>
      <c r="AD16" s="8">
        <f>IF(AD13="","",WEEKDAY(AD13,1))</f>
        <v>6</v>
      </c>
      <c r="AE16" s="8">
        <f>IF(AE13="","",WEEKDAY(AE13,1))</f>
        <v>7</v>
      </c>
      <c r="AF16" s="8" t="str">
        <f t="shared" ref="AF16:AG16" si="8">IF(AF13="","",WEEKDAY(AF13,1))</f>
        <v/>
      </c>
      <c r="AG16" s="9" t="str">
        <f t="shared" si="8"/>
        <v/>
      </c>
      <c r="AH16" s="648">
        <f>COUNTIF(C17:AG17,AI16)</f>
        <v>0</v>
      </c>
      <c r="AI16" s="633" t="s">
        <v>799</v>
      </c>
      <c r="AJ16" s="13">
        <v>2</v>
      </c>
      <c r="AK16" t="s">
        <v>5</v>
      </c>
      <c r="AL16" s="22" t="s">
        <v>7</v>
      </c>
      <c r="AM16" s="31">
        <v>43897</v>
      </c>
      <c r="AN16" s="31">
        <v>43902</v>
      </c>
      <c r="AO16" s="635">
        <f>Absences26810[[#This Row],[debut]]</f>
        <v>43897</v>
      </c>
      <c r="AQ16" s="608" t="s">
        <v>370</v>
      </c>
      <c r="AR16" s="631" t="s">
        <v>800</v>
      </c>
      <c r="BZ16" s="359">
        <f t="shared" si="0"/>
        <v>44146</v>
      </c>
      <c r="CA16" s="360">
        <f>DATE(BZ4,11,11)</f>
        <v>44146</v>
      </c>
      <c r="CB16" s="361" t="s">
        <v>587</v>
      </c>
      <c r="CC16" s="563"/>
      <c r="CD16" s="362" t="s">
        <v>586</v>
      </c>
      <c r="CE16" s="363">
        <f>DATE(CD4,8,15)</f>
        <v>44788</v>
      </c>
    </row>
    <row r="17" spans="1:83" ht="19.5" thickBot="1" x14ac:dyDescent="0.3">
      <c r="A17" s="656" t="s">
        <v>7</v>
      </c>
      <c r="B17" s="659">
        <f>COUNTIF(C17:AG17,A17)</f>
        <v>0</v>
      </c>
      <c r="C17" s="24" t="str">
        <f t="array" ref="C17">IF(OR(C16=1,C16=7),"",IFERROR(INDEX($AK$15:$AN$114,MATCH(1,(C13&gt;=$AM$15:$AM$114)*($AN$15:$AN$114&gt;=C13)*($AK$15:$AK$114=$U$2),0),2),""))</f>
        <v/>
      </c>
      <c r="D17" s="25" t="str">
        <f t="array" ref="D17">IF(OR(D16=1,D16=7),"",IFERROR(INDEX($AK$15:$AN$114,MATCH(1,(D13&gt;=$AM$15:$AM$114)*($AN$15:$AN$114&gt;=D13)*($AK$15:$AK$114=$U$2),0),2),""))</f>
        <v/>
      </c>
      <c r="E17" s="25" t="str">
        <f t="array" ref="E17">IF(OR(E16=1,E16=7),"",IFERROR(INDEX($AK$15:$AN$114,MATCH(1,(E13&gt;=$AM$15:$AM$114)*($AN$15:$AN$114&gt;=E13)*($AK$15:$AK$114=$U$2),0),2),""))</f>
        <v/>
      </c>
      <c r="F17" s="25" t="str">
        <f t="array" ref="F17">IF(OR(F16=1,F16=7),"",IFERROR(INDEX($AK$15:$AN$114,MATCH(1,(F13&gt;=$AM$15:$AM$114)*($AN$15:$AN$114&gt;=F13)*($AK$15:$AK$114=$U$2),0),2),""))</f>
        <v/>
      </c>
      <c r="G17" s="25" t="str">
        <f t="array" ref="G17">IF(OR(G16=1,G16=7),"",IFERROR(INDEX($AK$15:$AN$114,MATCH(1,(G13&gt;=$AM$15:$AM$114)*($AN$15:$AN$114&gt;=G13)*($AK$15:$AK$114=$U$2),0),2),""))</f>
        <v/>
      </c>
      <c r="H17" s="25" t="str">
        <f t="array" ref="H17">IF(OR(H16=1,H16=7),"",IFERROR(INDEX($AK$15:$AN$114,MATCH(1,(H13&gt;=$AM$15:$AM$114)*($AN$15:$AN$114&gt;=H13)*($AK$15:$AK$114=$U$2),0),2),""))</f>
        <v/>
      </c>
      <c r="I17" s="25" t="str">
        <f t="array" ref="I17">IF(OR(I16=1,I16=7),"",IFERROR(INDEX($AK$15:$AN$114,MATCH(1,(I13&gt;=$AM$15:$AM$114)*($AN$15:$AN$114&gt;=I13)*($AK$15:$AK$114=$U$2),0),2),""))</f>
        <v/>
      </c>
      <c r="J17" s="25" t="str">
        <f t="array" ref="J17">IF(OR(J16=1,J16=7),"",IFERROR(INDEX($AK$15:$AN$114,MATCH(1,(J13&gt;=$AM$15:$AM$114)*($AN$15:$AN$114&gt;=J13)*($AK$15:$AK$114=$U$2),0),2),""))</f>
        <v/>
      </c>
      <c r="K17" s="25" t="str">
        <f t="array" ref="K17">IF(OR(K16=1,K16=7),"",IFERROR(INDEX($AK$15:$AN$114,MATCH(1,(K13&gt;=$AM$15:$AM$114)*($AN$15:$AN$114&gt;=K13)*($AK$15:$AK$114=$U$2),0),2),""))</f>
        <v/>
      </c>
      <c r="L17" s="25" t="str">
        <f t="array" ref="L17">IF(OR(L16=1,L16=7),"",IFERROR(INDEX($AK$15:$AN$114,MATCH(1,(L13&gt;=$AM$15:$AM$114)*($AN$15:$AN$114&gt;=L13)*($AK$15:$AK$114=$U$2),0),2),""))</f>
        <v/>
      </c>
      <c r="M17" s="25" t="str">
        <f t="array" ref="M17">IF(OR(M16=1,M16=7),"",IFERROR(INDEX($AK$15:$AN$114,MATCH(1,(M13&gt;=$AM$15:$AM$114)*($AN$15:$AN$114&gt;=M13)*($AK$15:$AK$114=$U$2),0),2),""))</f>
        <v/>
      </c>
      <c r="N17" s="25" t="str">
        <f t="array" ref="N17">IF(OR(N16=1,N16=7),"",IFERROR(INDEX($AK$15:$AN$114,MATCH(1,(N13&gt;=$AM$15:$AM$114)*($AN$15:$AN$114&gt;=N13)*($AK$15:$AK$114=$U$2),0),2),""))</f>
        <v/>
      </c>
      <c r="O17" s="25" t="str">
        <f t="array" ref="O17">IF(OR(O16=1,O16=7),"",IFERROR(INDEX($AK$15:$AN$114,MATCH(1,(O13&gt;=$AM$15:$AM$114)*($AN$15:$AN$114&gt;=O13)*($AK$15:$AK$114=$U$2),0),2),""))</f>
        <v/>
      </c>
      <c r="P17" s="25" t="str">
        <f t="array" ref="P17">IF(OR(P16=1,P16=7),"",IFERROR(INDEX($AK$15:$AN$114,MATCH(1,(P13&gt;=$AM$15:$AM$114)*($AN$15:$AN$114&gt;=P13)*($AK$15:$AK$114=$U$2),0),2),""))</f>
        <v/>
      </c>
      <c r="Q17" s="25" t="str">
        <f t="array" ref="Q17">IF(OR(Q16=1,Q16=7),"",IFERROR(INDEX($AK$15:$AN$114,MATCH(1,(Q13&gt;=$AM$15:$AM$114)*($AN$15:$AN$114&gt;=Q13)*($AK$15:$AK$114=$U$2),0),2),""))</f>
        <v/>
      </c>
      <c r="R17" s="25" t="str">
        <f t="array" ref="R17">IF(OR(R16=1,R16=7),"",IFERROR(INDEX($AK$15:$AN$114,MATCH(1,(R13&gt;=$AM$15:$AM$114)*($AN$15:$AN$114&gt;=R13)*($AK$15:$AK$114=$U$2),0),2),""))</f>
        <v/>
      </c>
      <c r="S17" s="25" t="str">
        <f t="array" ref="S17">IF(OR(S16=1,S16=7),"",IFERROR(INDEX($AK$15:$AN$114,MATCH(1,(S13&gt;=$AM$15:$AM$114)*($AN$15:$AN$114&gt;=S13)*($AK$15:$AK$114=$U$2),0),2),""))</f>
        <v/>
      </c>
      <c r="T17" s="25" t="str">
        <f t="array" ref="T17">IF(OR(T16=1,T16=7),"",IFERROR(INDEX($AK$15:$AN$114,MATCH(1,(T13&gt;=$AM$15:$AM$114)*($AN$15:$AN$114&gt;=T13)*($AK$15:$AK$114=$U$2),0),2),""))</f>
        <v/>
      </c>
      <c r="U17" s="25" t="str">
        <f t="array" ref="U17">IF(OR(U16=1,U16=7),"",IFERROR(INDEX($AK$15:$AN$114,MATCH(1,(U13&gt;=$AM$15:$AM$114)*($AN$15:$AN$114&gt;=U13)*($AK$15:$AK$114=$U$2),0),2),""))</f>
        <v/>
      </c>
      <c r="V17" s="25" t="str">
        <f t="array" ref="V17">IF(OR(V16=1,V16=7),"",IFERROR(INDEX($AK$15:$AN$114,MATCH(1,(V13&gt;=$AM$15:$AM$114)*($AN$15:$AN$114&gt;=V13)*($AK$15:$AK$114=$U$2),0),2),""))</f>
        <v/>
      </c>
      <c r="W17" s="25" t="str">
        <f t="array" ref="W17">IF(OR(W16=1,W16=7),"",IFERROR(INDEX($AK$15:$AN$114,MATCH(1,(W13&gt;=$AM$15:$AM$114)*($AN$15:$AN$114&gt;=W13)*($AK$15:$AK$114=$U$2),0),2),""))</f>
        <v/>
      </c>
      <c r="X17" s="25" t="str">
        <f t="array" ref="X17">IF(OR(X16=1,X16=7),"",IFERROR(INDEX($AK$15:$AN$114,MATCH(1,(X13&gt;=$AM$15:$AM$114)*($AN$15:$AN$114&gt;=X13)*($AK$15:$AK$114=$U$2),0),2),""))</f>
        <v/>
      </c>
      <c r="Y17" s="25" t="str">
        <f t="array" ref="Y17">IF(OR(Y16=1,Y16=7),"",IFERROR(INDEX($AK$15:$AN$114,MATCH(1,(Y13&gt;=$AM$15:$AM$114)*($AN$15:$AN$114&gt;=Y13)*($AK$15:$AK$114=$U$2),0),2),""))</f>
        <v/>
      </c>
      <c r="Z17" s="25" t="str">
        <f t="array" ref="Z17">IF(OR(Z16=1,Z16=7),"",IFERROR(INDEX($AK$15:$AN$114,MATCH(1,(Z13&gt;=$AM$15:$AM$114)*($AN$15:$AN$114&gt;=Z13)*($AK$15:$AK$114=$U$2),0),2),""))</f>
        <v/>
      </c>
      <c r="AA17" s="25" t="str">
        <f t="array" ref="AA17">IF(OR(AA16=1,AA16=7),"",IFERROR(INDEX($AK$15:$AN$114,MATCH(1,(AA13&gt;=$AM$15:$AM$114)*($AN$15:$AN$114&gt;=AA13)*($AK$15:$AK$114=$U$2),0),2),""))</f>
        <v/>
      </c>
      <c r="AB17" s="25" t="str">
        <f t="array" ref="AB17">IF(OR(AB16=1,AB16=7),"",IFERROR(INDEX($AK$15:$AN$114,MATCH(1,(AB13&gt;=$AM$15:$AM$114)*($AN$15:$AN$114&gt;=AB13)*($AK$15:$AK$114=$U$2),0),2),""))</f>
        <v/>
      </c>
      <c r="AC17" s="25" t="str">
        <f t="array" ref="AC17">IF(OR(AC16=1,AC16=7),"",IFERROR(INDEX($AK$15:$AN$114,MATCH(1,(AC13&gt;=$AM$15:$AM$114)*($AN$15:$AN$114&gt;=AC13)*($AK$15:$AK$114=$U$2),0),2),""))</f>
        <v/>
      </c>
      <c r="AD17" s="25" t="str">
        <f t="array" ref="AD17">IF(OR(AD16=1,AD16=7),"",IFERROR(INDEX($AK$15:$AN$114,MATCH(1,(AD13&gt;=$AM$15:$AM$114)*($AN$15:$AN$114&gt;=AD13)*($AK$15:$AK$114=$U$2),0),2),""))</f>
        <v/>
      </c>
      <c r="AE17" s="25" t="str">
        <f t="array" ref="AE17">IF(OR(AE16=1,AE16=7),"",IFERROR(INDEX($AK$15:$AN$114,MATCH(1,(AE13&gt;=$AM$15:$AM$114)*($AN$15:$AN$114&gt;=AE13)*($AK$15:$AK$114=$U$2),0),2),""))</f>
        <v/>
      </c>
      <c r="AF17" s="25" t="str">
        <f t="array" ref="AF17">IF(OR(AF16=1,AF16=7),"",IFERROR(INDEX($AK$15:$AN$114,MATCH(1,(AF13&gt;=$AM$15:$AM$114)*($AN$15:$AN$114&gt;=AF13)*($AK$15:$AK$114=$U$2),0),2),""))</f>
        <v/>
      </c>
      <c r="AG17" s="26" t="str">
        <f t="array" ref="AG17">IF(OR(AG16=1,AG16=7),"",IFERROR(INDEX($AK$15:$AN$114,MATCH(1,(AG13&gt;=$AM$15:$AM$114)*($AN$15:$AN$114&gt;=AG13)*($AK$15:$AK$114=$U$2),0),2),""))</f>
        <v/>
      </c>
      <c r="AH17" s="648">
        <f>COUNTIF(C17:AG17,AI17)</f>
        <v>0</v>
      </c>
      <c r="AI17" s="639" t="s">
        <v>362</v>
      </c>
      <c r="AJ17" s="13">
        <v>3</v>
      </c>
      <c r="AK17" t="s">
        <v>5</v>
      </c>
      <c r="AL17" s="22" t="s">
        <v>6</v>
      </c>
      <c r="AM17" s="31">
        <v>43929</v>
      </c>
      <c r="AN17" s="31">
        <v>43936</v>
      </c>
      <c r="AO17" s="635">
        <f>Absences26810[[#This Row],[debut]]</f>
        <v>43929</v>
      </c>
      <c r="AQ17" s="597" t="s">
        <v>374</v>
      </c>
      <c r="AR17" s="632" t="s">
        <v>7</v>
      </c>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Z17" s="359">
        <f t="shared" si="0"/>
        <v>44190</v>
      </c>
      <c r="CA17" s="360">
        <f>DATE(BZ4,12,25)</f>
        <v>44190</v>
      </c>
      <c r="CB17" s="361" t="s">
        <v>723</v>
      </c>
      <c r="CC17" s="563"/>
      <c r="CD17" s="362" t="s">
        <v>735</v>
      </c>
      <c r="CE17" s="363">
        <f>DATE(CD4,11,1)</f>
        <v>44866</v>
      </c>
    </row>
    <row r="18" spans="1:83" ht="14.25" customHeight="1" x14ac:dyDescent="0.25">
      <c r="A18" s="13"/>
      <c r="B18" s="20">
        <f>DATE($C$2,MONTH(1&amp;"/"&amp;C19),1)</f>
        <v>43891</v>
      </c>
      <c r="C18" s="14">
        <f>B18</f>
        <v>43891</v>
      </c>
      <c r="D18" s="14">
        <f>IFERROR(IF(C18+1&gt;$B$19,"",C18+1),"")</f>
        <v>43892</v>
      </c>
      <c r="E18" s="14">
        <f t="shared" ref="E18:AG18" si="9">IFERROR(IF(D18+1&gt;$B$19,"",D18+1),"")</f>
        <v>43893</v>
      </c>
      <c r="F18" s="14">
        <f t="shared" si="9"/>
        <v>43894</v>
      </c>
      <c r="G18" s="14">
        <f t="shared" si="9"/>
        <v>43895</v>
      </c>
      <c r="H18" s="14">
        <f t="shared" si="9"/>
        <v>43896</v>
      </c>
      <c r="I18" s="14">
        <f t="shared" si="9"/>
        <v>43897</v>
      </c>
      <c r="J18" s="14">
        <f t="shared" si="9"/>
        <v>43898</v>
      </c>
      <c r="K18" s="14">
        <f t="shared" si="9"/>
        <v>43899</v>
      </c>
      <c r="L18" s="14">
        <f t="shared" si="9"/>
        <v>43900</v>
      </c>
      <c r="M18" s="14">
        <f t="shared" si="9"/>
        <v>43901</v>
      </c>
      <c r="N18" s="14">
        <f t="shared" si="9"/>
        <v>43902</v>
      </c>
      <c r="O18" s="14">
        <f t="shared" si="9"/>
        <v>43903</v>
      </c>
      <c r="P18" s="14">
        <f t="shared" si="9"/>
        <v>43904</v>
      </c>
      <c r="Q18" s="14">
        <f t="shared" si="9"/>
        <v>43905</v>
      </c>
      <c r="R18" s="14">
        <f t="shared" si="9"/>
        <v>43906</v>
      </c>
      <c r="S18" s="14">
        <f t="shared" si="9"/>
        <v>43907</v>
      </c>
      <c r="T18" s="14">
        <f t="shared" si="9"/>
        <v>43908</v>
      </c>
      <c r="U18" s="14">
        <f t="shared" si="9"/>
        <v>43909</v>
      </c>
      <c r="V18" s="14">
        <f t="shared" si="9"/>
        <v>43910</v>
      </c>
      <c r="W18" s="14">
        <f t="shared" si="9"/>
        <v>43911</v>
      </c>
      <c r="X18" s="14">
        <f t="shared" si="9"/>
        <v>43912</v>
      </c>
      <c r="Y18" s="14">
        <f t="shared" si="9"/>
        <v>43913</v>
      </c>
      <c r="Z18" s="14">
        <f t="shared" si="9"/>
        <v>43914</v>
      </c>
      <c r="AA18" s="14">
        <f t="shared" si="9"/>
        <v>43915</v>
      </c>
      <c r="AB18" s="14">
        <f t="shared" si="9"/>
        <v>43916</v>
      </c>
      <c r="AC18" s="14">
        <f t="shared" si="9"/>
        <v>43917</v>
      </c>
      <c r="AD18" s="14">
        <f t="shared" si="9"/>
        <v>43918</v>
      </c>
      <c r="AE18" s="14">
        <f t="shared" si="9"/>
        <v>43919</v>
      </c>
      <c r="AF18" s="14">
        <f t="shared" si="9"/>
        <v>43920</v>
      </c>
      <c r="AG18" s="14">
        <f t="shared" si="9"/>
        <v>43921</v>
      </c>
      <c r="AH18" s="647">
        <f>COUNTIF(C22:AG22,AI18)</f>
        <v>0</v>
      </c>
      <c r="AI18" s="640" t="s">
        <v>8</v>
      </c>
      <c r="AJ18" s="13">
        <v>4</v>
      </c>
      <c r="AK18" s="2" t="s">
        <v>4</v>
      </c>
      <c r="AL18" s="22" t="s">
        <v>8</v>
      </c>
      <c r="AM18" s="32">
        <v>43958</v>
      </c>
      <c r="AN18" s="32">
        <v>43963</v>
      </c>
      <c r="AO18" s="635">
        <f>Absences26810[[#This Row],[debut]]</f>
        <v>43958</v>
      </c>
      <c r="AQ18" s="609" t="s">
        <v>367</v>
      </c>
      <c r="AR18" s="628" t="s">
        <v>8</v>
      </c>
      <c r="BZ18" s="366">
        <f>BZ21</f>
        <v>44197</v>
      </c>
      <c r="CA18" s="367">
        <f>CA21</f>
        <v>44197</v>
      </c>
      <c r="CB18" s="368" t="s">
        <v>721</v>
      </c>
      <c r="CC18" s="563"/>
      <c r="CD18" s="362" t="s">
        <v>587</v>
      </c>
      <c r="CE18" s="363">
        <f>DATE(CD4,11,11)</f>
        <v>44876</v>
      </c>
    </row>
    <row r="19" spans="1:83" ht="18.75" x14ac:dyDescent="0.25">
      <c r="A19" s="13"/>
      <c r="B19" s="21">
        <f>EOMONTH(B18,0)</f>
        <v>43921</v>
      </c>
      <c r="C19" s="1476" t="s">
        <v>49</v>
      </c>
      <c r="D19" s="1477"/>
      <c r="E19" s="1477"/>
      <c r="F19" s="1477"/>
      <c r="G19" s="1477"/>
      <c r="H19" s="1477"/>
      <c r="I19" s="1477"/>
      <c r="J19" s="1477"/>
      <c r="K19" s="1477"/>
      <c r="L19" s="1477"/>
      <c r="M19" s="1477"/>
      <c r="N19" s="1477"/>
      <c r="O19" s="1477"/>
      <c r="P19" s="1477"/>
      <c r="Q19" s="1477"/>
      <c r="R19" s="1477"/>
      <c r="S19" s="1477"/>
      <c r="T19" s="1477"/>
      <c r="U19" s="1477"/>
      <c r="V19" s="1477"/>
      <c r="W19" s="1477"/>
      <c r="X19" s="1477"/>
      <c r="Y19" s="1477"/>
      <c r="Z19" s="1477"/>
      <c r="AA19" s="1477"/>
      <c r="AB19" s="1477"/>
      <c r="AC19" s="1477"/>
      <c r="AD19" s="1477"/>
      <c r="AE19" s="1477"/>
      <c r="AF19" s="1477"/>
      <c r="AG19" s="1478"/>
      <c r="AH19" s="648">
        <f>COUNTIF(C22:AG22,AI19)</f>
        <v>0</v>
      </c>
      <c r="AI19" s="629" t="s">
        <v>360</v>
      </c>
      <c r="AJ19" s="13">
        <v>5</v>
      </c>
      <c r="AK19" t="s">
        <v>4</v>
      </c>
      <c r="AL19" s="22" t="s">
        <v>7</v>
      </c>
      <c r="AM19" s="31">
        <v>44034</v>
      </c>
      <c r="AN19" s="31">
        <v>44054</v>
      </c>
      <c r="AO19" s="635">
        <f>Absences26810[[#This Row],[debut]]</f>
        <v>44034</v>
      </c>
      <c r="AQ19" s="595" t="s">
        <v>361</v>
      </c>
      <c r="AR19" s="629" t="s">
        <v>360</v>
      </c>
      <c r="BZ19" s="497"/>
      <c r="CA19" s="497"/>
      <c r="CB19" s="497"/>
      <c r="CC19" s="563"/>
      <c r="CD19" s="362" t="s">
        <v>723</v>
      </c>
      <c r="CE19" s="363">
        <f>DATE(CD4,12,25)</f>
        <v>44920</v>
      </c>
    </row>
    <row r="20" spans="1:83" ht="19.5" thickBot="1" x14ac:dyDescent="0.3">
      <c r="A20" s="654"/>
      <c r="B20" s="657"/>
      <c r="C20" s="6">
        <f t="shared" ref="C20:AG20" si="10">IFERROR(DAY(C18),"")</f>
        <v>1</v>
      </c>
      <c r="D20" s="3">
        <f t="shared" si="10"/>
        <v>2</v>
      </c>
      <c r="E20" s="3">
        <f t="shared" si="10"/>
        <v>3</v>
      </c>
      <c r="F20" s="3">
        <f t="shared" si="10"/>
        <v>4</v>
      </c>
      <c r="G20" s="3">
        <f t="shared" si="10"/>
        <v>5</v>
      </c>
      <c r="H20" s="3">
        <f t="shared" si="10"/>
        <v>6</v>
      </c>
      <c r="I20" s="3">
        <f t="shared" si="10"/>
        <v>7</v>
      </c>
      <c r="J20" s="3">
        <f t="shared" si="10"/>
        <v>8</v>
      </c>
      <c r="K20" s="3">
        <f t="shared" si="10"/>
        <v>9</v>
      </c>
      <c r="L20" s="3">
        <f t="shared" si="10"/>
        <v>10</v>
      </c>
      <c r="M20" s="3">
        <f t="shared" si="10"/>
        <v>11</v>
      </c>
      <c r="N20" s="3">
        <f t="shared" si="10"/>
        <v>12</v>
      </c>
      <c r="O20" s="3">
        <f t="shared" si="10"/>
        <v>13</v>
      </c>
      <c r="P20" s="3">
        <f t="shared" si="10"/>
        <v>14</v>
      </c>
      <c r="Q20" s="3">
        <f t="shared" si="10"/>
        <v>15</v>
      </c>
      <c r="R20" s="3">
        <f t="shared" si="10"/>
        <v>16</v>
      </c>
      <c r="S20" s="3">
        <f t="shared" si="10"/>
        <v>17</v>
      </c>
      <c r="T20" s="3">
        <f t="shared" si="10"/>
        <v>18</v>
      </c>
      <c r="U20" s="3">
        <f t="shared" si="10"/>
        <v>19</v>
      </c>
      <c r="V20" s="3">
        <f t="shared" si="10"/>
        <v>20</v>
      </c>
      <c r="W20" s="3">
        <f t="shared" si="10"/>
        <v>21</v>
      </c>
      <c r="X20" s="3">
        <f t="shared" si="10"/>
        <v>22</v>
      </c>
      <c r="Y20" s="3">
        <f t="shared" si="10"/>
        <v>23</v>
      </c>
      <c r="Z20" s="3">
        <f t="shared" si="10"/>
        <v>24</v>
      </c>
      <c r="AA20" s="3">
        <f t="shared" si="10"/>
        <v>25</v>
      </c>
      <c r="AB20" s="3">
        <f t="shared" si="10"/>
        <v>26</v>
      </c>
      <c r="AC20" s="3">
        <f t="shared" si="10"/>
        <v>27</v>
      </c>
      <c r="AD20" s="3">
        <f t="shared" si="10"/>
        <v>28</v>
      </c>
      <c r="AE20" s="3">
        <f t="shared" si="10"/>
        <v>29</v>
      </c>
      <c r="AF20" s="3">
        <f t="shared" si="10"/>
        <v>30</v>
      </c>
      <c r="AG20" s="7">
        <f t="shared" si="10"/>
        <v>31</v>
      </c>
      <c r="AH20" s="648">
        <f>COUNTIF(C22:AG22,AI20)</f>
        <v>0</v>
      </c>
      <c r="AI20" s="10" t="s">
        <v>6</v>
      </c>
      <c r="AJ20" s="13">
        <v>6</v>
      </c>
      <c r="AK20" t="s">
        <v>4</v>
      </c>
      <c r="AL20" s="22" t="s">
        <v>8</v>
      </c>
      <c r="AM20" s="31">
        <v>43837</v>
      </c>
      <c r="AN20" s="31">
        <v>43842</v>
      </c>
      <c r="AO20" s="635">
        <f>Absences26810[[#This Row],[debut]]</f>
        <v>43837</v>
      </c>
      <c r="AQ20" s="608" t="s">
        <v>357</v>
      </c>
      <c r="AR20" s="10" t="s">
        <v>6</v>
      </c>
      <c r="BZ20" s="1490">
        <f>BZ4+1</f>
        <v>2021</v>
      </c>
      <c r="CA20" s="1491"/>
      <c r="CB20" s="1492"/>
      <c r="CC20" s="563"/>
      <c r="CD20" s="369" t="s">
        <v>721</v>
      </c>
      <c r="CE20" s="370">
        <f>DATE(CD4+1,1,1)</f>
        <v>44927</v>
      </c>
    </row>
    <row r="21" spans="1:83" ht="18.75" x14ac:dyDescent="0.25">
      <c r="A21" s="655" t="s">
        <v>800</v>
      </c>
      <c r="B21" s="658">
        <f>COUNTIF(C22:AG22,A21)</f>
        <v>0</v>
      </c>
      <c r="C21" s="5">
        <f t="shared" ref="C21:AC21" si="11">IF(C18="","",WEEKDAY(C18,1))</f>
        <v>1</v>
      </c>
      <c r="D21" s="8">
        <f t="shared" si="11"/>
        <v>2</v>
      </c>
      <c r="E21" s="8">
        <f t="shared" si="11"/>
        <v>3</v>
      </c>
      <c r="F21" s="8">
        <f t="shared" si="11"/>
        <v>4</v>
      </c>
      <c r="G21" s="8">
        <f t="shared" si="11"/>
        <v>5</v>
      </c>
      <c r="H21" s="8">
        <f t="shared" si="11"/>
        <v>6</v>
      </c>
      <c r="I21" s="8">
        <f t="shared" si="11"/>
        <v>7</v>
      </c>
      <c r="J21" s="8">
        <f t="shared" si="11"/>
        <v>1</v>
      </c>
      <c r="K21" s="8">
        <f t="shared" si="11"/>
        <v>2</v>
      </c>
      <c r="L21" s="8">
        <f t="shared" si="11"/>
        <v>3</v>
      </c>
      <c r="M21" s="8">
        <f t="shared" si="11"/>
        <v>4</v>
      </c>
      <c r="N21" s="8">
        <f t="shared" si="11"/>
        <v>5</v>
      </c>
      <c r="O21" s="8">
        <f t="shared" si="11"/>
        <v>6</v>
      </c>
      <c r="P21" s="8">
        <f t="shared" si="11"/>
        <v>7</v>
      </c>
      <c r="Q21" s="8">
        <f t="shared" si="11"/>
        <v>1</v>
      </c>
      <c r="R21" s="8">
        <f t="shared" si="11"/>
        <v>2</v>
      </c>
      <c r="S21" s="8">
        <f t="shared" si="11"/>
        <v>3</v>
      </c>
      <c r="T21" s="8">
        <f t="shared" si="11"/>
        <v>4</v>
      </c>
      <c r="U21" s="8">
        <f t="shared" si="11"/>
        <v>5</v>
      </c>
      <c r="V21" s="8">
        <f t="shared" si="11"/>
        <v>6</v>
      </c>
      <c r="W21" s="8">
        <f t="shared" si="11"/>
        <v>7</v>
      </c>
      <c r="X21" s="8">
        <f t="shared" si="11"/>
        <v>1</v>
      </c>
      <c r="Y21" s="8">
        <f t="shared" si="11"/>
        <v>2</v>
      </c>
      <c r="Z21" s="8">
        <f t="shared" si="11"/>
        <v>3</v>
      </c>
      <c r="AA21" s="8">
        <f t="shared" si="11"/>
        <v>4</v>
      </c>
      <c r="AB21" s="8">
        <f t="shared" si="11"/>
        <v>5</v>
      </c>
      <c r="AC21" s="8">
        <f t="shared" si="11"/>
        <v>6</v>
      </c>
      <c r="AD21" s="8">
        <f>IF(AD18="","",WEEKDAY(AD18,1))</f>
        <v>7</v>
      </c>
      <c r="AE21" s="8">
        <f>IF(AE18="","",WEEKDAY(AE18,1))</f>
        <v>1</v>
      </c>
      <c r="AF21" s="8">
        <f t="shared" ref="AF21:AG21" si="12">IF(AF18="","",WEEKDAY(AF18,1))</f>
        <v>2</v>
      </c>
      <c r="AG21" s="9">
        <f t="shared" si="12"/>
        <v>3</v>
      </c>
      <c r="AH21" s="648">
        <f>COUNTIF(C22:AG22,AI21)</f>
        <v>0</v>
      </c>
      <c r="AI21" s="633" t="s">
        <v>799</v>
      </c>
      <c r="AJ21" s="13">
        <v>7</v>
      </c>
      <c r="AK21" s="1" t="s">
        <v>4</v>
      </c>
      <c r="AL21" s="22" t="s">
        <v>6</v>
      </c>
      <c r="AM21" s="33">
        <v>43922</v>
      </c>
      <c r="AN21" s="33">
        <v>43925</v>
      </c>
      <c r="AO21" s="635">
        <f>Absences26810[[#This Row],[debut]]</f>
        <v>43922</v>
      </c>
      <c r="AQ21" s="597" t="s">
        <v>813</v>
      </c>
      <c r="AR21" s="633" t="s">
        <v>799</v>
      </c>
      <c r="BZ21" s="359">
        <f>CA21</f>
        <v>44197</v>
      </c>
      <c r="CA21" s="360">
        <f>DATE(BZ4+1,1,1)</f>
        <v>44197</v>
      </c>
      <c r="CB21" s="361" t="s">
        <v>721</v>
      </c>
      <c r="CC21" s="563"/>
      <c r="CD21" s="563"/>
      <c r="CE21" s="563"/>
    </row>
    <row r="22" spans="1:83" ht="19.5" thickBot="1" x14ac:dyDescent="0.3">
      <c r="A22" s="656" t="s">
        <v>7</v>
      </c>
      <c r="B22" s="659">
        <f>COUNTIF(C22:AG22,A22)</f>
        <v>4</v>
      </c>
      <c r="C22" s="24" t="str">
        <f t="array" ref="C22">IF(OR(C21=1,C21=7),"",IFERROR(INDEX($AK$15:$AN$114,MATCH(1,(C18&gt;=$AM$15:$AM$114)*($AN$15:$AN$114&gt;=C18)*($AK$15:$AK$114=$U$2),0),2),""))</f>
        <v/>
      </c>
      <c r="D22" s="25" t="str">
        <f t="array" ref="D22">IF(OR(D21=1,D21=7),"",IFERROR(INDEX($AK$15:$AN$114,MATCH(1,(D18&gt;=$AM$15:$AM$114)*($AN$15:$AN$114&gt;=D18)*($AK$15:$AK$114=$U$2),0),2),""))</f>
        <v/>
      </c>
      <c r="E22" s="25" t="str">
        <f t="array" ref="E22">IF(OR(E21=1,E21=7),"",IFERROR(INDEX($AK$15:$AN$114,MATCH(1,(E18&gt;=$AM$15:$AM$114)*($AN$15:$AN$114&gt;=E18)*($AK$15:$AK$114=$U$2),0),2),""))</f>
        <v/>
      </c>
      <c r="F22" s="25" t="str">
        <f t="array" ref="F22">IF(OR(F21=1,F21=7),"",IFERROR(INDEX($AK$15:$AN$114,MATCH(1,(F18&gt;=$AM$15:$AM$114)*($AN$15:$AN$114&gt;=F18)*($AK$15:$AK$114=$U$2),0),2),""))</f>
        <v/>
      </c>
      <c r="G22" s="25" t="str">
        <f t="array" ref="G22">IF(OR(G21=1,G21=7),"",IFERROR(INDEX($AK$15:$AN$114,MATCH(1,(G18&gt;=$AM$15:$AM$114)*($AN$15:$AN$114&gt;=G18)*($AK$15:$AK$114=$U$2),0),2),""))</f>
        <v/>
      </c>
      <c r="H22" s="25" t="str">
        <f t="array" ref="H22">IF(OR(H21=1,H21=7),"",IFERROR(INDEX($AK$15:$AN$114,MATCH(1,(H18&gt;=$AM$15:$AM$114)*($AN$15:$AN$114&gt;=H18)*($AK$15:$AK$114=$U$2),0),2),""))</f>
        <v/>
      </c>
      <c r="I22" s="25" t="str">
        <f t="array" ref="I22">IF(OR(I21=1,I21=7),"",IFERROR(INDEX($AK$15:$AN$114,MATCH(1,(I18&gt;=$AM$15:$AM$114)*($AN$15:$AN$114&gt;=I18)*($AK$15:$AK$114=$U$2),0),2),""))</f>
        <v/>
      </c>
      <c r="J22" s="25" t="str">
        <f t="array" ref="J22">IF(OR(J21=1,J21=7),"",IFERROR(INDEX($AK$15:$AN$114,MATCH(1,(J18&gt;=$AM$15:$AM$114)*($AN$15:$AN$114&gt;=J18)*($AK$15:$AK$114=$U$2),0),2),""))</f>
        <v/>
      </c>
      <c r="K22" s="25" t="str">
        <f t="array" ref="K22">IF(OR(K21=1,K21=7),"",IFERROR(INDEX($AK$15:$AN$114,MATCH(1,(K18&gt;=$AM$15:$AM$114)*($AN$15:$AN$114&gt;=K18)*($AK$15:$AK$114=$U$2),0),2),""))</f>
        <v>C</v>
      </c>
      <c r="L22" s="25" t="str">
        <f t="array" ref="L22">IF(OR(L21=1,L21=7),"",IFERROR(INDEX($AK$15:$AN$114,MATCH(1,(L18&gt;=$AM$15:$AM$114)*($AN$15:$AN$114&gt;=L18)*($AK$15:$AK$114=$U$2),0),2),""))</f>
        <v>C</v>
      </c>
      <c r="M22" s="25" t="str">
        <f t="array" ref="M22">IF(OR(M21=1,M21=7),"",IFERROR(INDEX($AK$15:$AN$114,MATCH(1,(M18&gt;=$AM$15:$AM$114)*($AN$15:$AN$114&gt;=M18)*($AK$15:$AK$114=$U$2),0),2),""))</f>
        <v>C</v>
      </c>
      <c r="N22" s="25" t="str">
        <f t="array" ref="N22">IF(OR(N21=1,N21=7),"",IFERROR(INDEX($AK$15:$AN$114,MATCH(1,(N18&gt;=$AM$15:$AM$114)*($AN$15:$AN$114&gt;=N18)*($AK$15:$AK$114=$U$2),0),2),""))</f>
        <v>C</v>
      </c>
      <c r="O22" s="25" t="str">
        <f t="array" ref="O22">IF(OR(O21=1,O21=7),"",IFERROR(INDEX($AK$15:$AN$114,MATCH(1,(O18&gt;=$AM$15:$AM$114)*($AN$15:$AN$114&gt;=O18)*($AK$15:$AK$114=$U$2),0),2),""))</f>
        <v/>
      </c>
      <c r="P22" s="25" t="str">
        <f t="array" ref="P22">IF(OR(P21=1,P21=7),"",IFERROR(INDEX($AK$15:$AN$114,MATCH(1,(P18&gt;=$AM$15:$AM$114)*($AN$15:$AN$114&gt;=P18)*($AK$15:$AK$114=$U$2),0),2),""))</f>
        <v/>
      </c>
      <c r="Q22" s="25" t="str">
        <f t="array" ref="Q22">IF(OR(Q21=1,Q21=7),"",IFERROR(INDEX($AK$15:$AN$114,MATCH(1,(Q18&gt;=$AM$15:$AM$114)*($AN$15:$AN$114&gt;=Q18)*($AK$15:$AK$114=$U$2),0),2),""))</f>
        <v/>
      </c>
      <c r="R22" s="25" t="str">
        <f t="array" ref="R22">IF(OR(R21=1,R21=7),"",IFERROR(INDEX($AK$15:$AN$114,MATCH(1,(R18&gt;=$AM$15:$AM$114)*($AN$15:$AN$114&gt;=R18)*($AK$15:$AK$114=$U$2),0),2),""))</f>
        <v/>
      </c>
      <c r="S22" s="25" t="str">
        <f t="array" ref="S22">IF(OR(S21=1,S21=7),"",IFERROR(INDEX($AK$15:$AN$114,MATCH(1,(S18&gt;=$AM$15:$AM$114)*($AN$15:$AN$114&gt;=S18)*($AK$15:$AK$114=$U$2),0),2),""))</f>
        <v/>
      </c>
      <c r="T22" s="25" t="str">
        <f t="array" ref="T22">IF(OR(T21=1,T21=7),"",IFERROR(INDEX($AK$15:$AN$114,MATCH(1,(T18&gt;=$AM$15:$AM$114)*($AN$15:$AN$114&gt;=T18)*($AK$15:$AK$114=$U$2),0),2),""))</f>
        <v/>
      </c>
      <c r="U22" s="25" t="str">
        <f t="array" ref="U22">IF(OR(U21=1,U21=7),"",IFERROR(INDEX($AK$15:$AN$114,MATCH(1,(U18&gt;=$AM$15:$AM$114)*($AN$15:$AN$114&gt;=U18)*($AK$15:$AK$114=$U$2),0),2),""))</f>
        <v/>
      </c>
      <c r="V22" s="25" t="str">
        <f t="array" ref="V22">IF(OR(V21=1,V21=7),"",IFERROR(INDEX($AK$15:$AN$114,MATCH(1,(V18&gt;=$AM$15:$AM$114)*($AN$15:$AN$114&gt;=V18)*($AK$15:$AK$114=$U$2),0),2),""))</f>
        <v/>
      </c>
      <c r="W22" s="25" t="str">
        <f t="array" ref="W22">IF(OR(W21=1,W21=7),"",IFERROR(INDEX($AK$15:$AN$114,MATCH(1,(W18&gt;=$AM$15:$AM$114)*($AN$15:$AN$114&gt;=W18)*($AK$15:$AK$114=$U$2),0),2),""))</f>
        <v/>
      </c>
      <c r="X22" s="25" t="str">
        <f t="array" ref="X22">IF(OR(X21=1,X21=7),"",IFERROR(INDEX($AK$15:$AN$114,MATCH(1,(X18&gt;=$AM$15:$AM$114)*($AN$15:$AN$114&gt;=X18)*($AK$15:$AK$114=$U$2),0),2),""))</f>
        <v/>
      </c>
      <c r="Y22" s="25" t="str">
        <f t="array" ref="Y22">IF(OR(Y21=1,Y21=7),"",IFERROR(INDEX($AK$15:$AN$114,MATCH(1,(Y18&gt;=$AM$15:$AM$114)*($AN$15:$AN$114&gt;=Y18)*($AK$15:$AK$114=$U$2),0),2),""))</f>
        <v/>
      </c>
      <c r="Z22" s="25" t="str">
        <f t="array" ref="Z22">IF(OR(Z21=1,Z21=7),"",IFERROR(INDEX($AK$15:$AN$114,MATCH(1,(Z18&gt;=$AM$15:$AM$114)*($AN$15:$AN$114&gt;=Z18)*($AK$15:$AK$114=$U$2),0),2),""))</f>
        <v/>
      </c>
      <c r="AA22" s="25" t="str">
        <f t="array" ref="AA22">IF(OR(AA21=1,AA21=7),"",IFERROR(INDEX($AK$15:$AN$114,MATCH(1,(AA18&gt;=$AM$15:$AM$114)*($AN$15:$AN$114&gt;=AA18)*($AK$15:$AK$114=$U$2),0),2),""))</f>
        <v/>
      </c>
      <c r="AB22" s="25" t="str">
        <f t="array" ref="AB22">IF(OR(AB21=1,AB21=7),"",IFERROR(INDEX($AK$15:$AN$114,MATCH(1,(AB18&gt;=$AM$15:$AM$114)*($AN$15:$AN$114&gt;=AB18)*($AK$15:$AK$114=$U$2),0),2),""))</f>
        <v/>
      </c>
      <c r="AC22" s="25" t="str">
        <f t="array" ref="AC22">IF(OR(AC21=1,AC21=7),"",IFERROR(INDEX($AK$15:$AN$114,MATCH(1,(AC18&gt;=$AM$15:$AM$114)*($AN$15:$AN$114&gt;=AC18)*($AK$15:$AK$114=$U$2),0),2),""))</f>
        <v/>
      </c>
      <c r="AD22" s="25" t="str">
        <f t="array" ref="AD22">IF(OR(AD21=1,AD21=7),"",IFERROR(INDEX($AK$15:$AN$114,MATCH(1,(AD18&gt;=$AM$15:$AM$114)*($AN$15:$AN$114&gt;=AD18)*($AK$15:$AK$114=$U$2),0),2),""))</f>
        <v/>
      </c>
      <c r="AE22" s="25" t="str">
        <f t="array" ref="AE22">IF(OR(AE21=1,AE21=7),"",IFERROR(INDEX($AK$15:$AN$114,MATCH(1,(AE18&gt;=$AM$15:$AM$114)*($AN$15:$AN$114&gt;=AE18)*($AK$15:$AK$114=$U$2),0),2),""))</f>
        <v/>
      </c>
      <c r="AF22" s="25" t="str">
        <f t="array" ref="AF22">IF(OR(AF21=1,AF21=7),"",IFERROR(INDEX($AK$15:$AN$114,MATCH(1,(AF18&gt;=$AM$15:$AM$114)*($AN$15:$AN$114&gt;=AF18)*($AK$15:$AK$114=$U$2),0),2),""))</f>
        <v/>
      </c>
      <c r="AG22" s="26" t="str">
        <f t="array" ref="AG22">IF(OR(AG21=1,AG21=7),"",IFERROR(INDEX($AK$15:$AN$114,MATCH(1,(AG18&gt;=$AM$15:$AM$114)*($AN$15:$AN$114&gt;=AG18)*($AK$15:$AK$114=$U$2),0),2),""))</f>
        <v/>
      </c>
      <c r="AH22" s="649">
        <f>COUNTIF(C22:AG22,AI22)</f>
        <v>0</v>
      </c>
      <c r="AI22" s="641" t="s">
        <v>362</v>
      </c>
      <c r="AJ22" s="13">
        <v>8</v>
      </c>
      <c r="AL22" s="23"/>
      <c r="AM22" s="31"/>
      <c r="AN22" s="31"/>
      <c r="AO22" s="635">
        <f>Absences26810[[#This Row],[debut]]</f>
        <v>0</v>
      </c>
      <c r="AQ22" s="608" t="s">
        <v>363</v>
      </c>
      <c r="AR22" s="613" t="s">
        <v>362</v>
      </c>
      <c r="BZ22" s="359">
        <f t="shared" ref="BZ22:BZ33" si="13">CA22</f>
        <v>44290</v>
      </c>
      <c r="CA22" s="360">
        <f>DATE(BZ4+1,3,29.56+0.979*MOD(204-11*MOD(BZ4+1,19),30)-WEEKDAY(DATE(BZ4+1,3,28.56+0.979*MOD(204-11*MOD(BZ4+1,19),30))))</f>
        <v>44290</v>
      </c>
      <c r="CB22" s="361" t="s">
        <v>585</v>
      </c>
      <c r="CC22" s="563"/>
      <c r="CD22" s="563"/>
      <c r="CE22" s="563"/>
    </row>
    <row r="23" spans="1:83" ht="14.25" customHeight="1" x14ac:dyDescent="0.25">
      <c r="A23" s="13"/>
      <c r="B23" s="20">
        <f>DATE($C$2,MONTH(1&amp;"/"&amp;C24),1)</f>
        <v>43922</v>
      </c>
      <c r="C23" s="14">
        <f>B23</f>
        <v>43922</v>
      </c>
      <c r="D23" s="14">
        <f>IFERROR(IF(C23+1&gt;$B$24,"",C23+1),"")</f>
        <v>43923</v>
      </c>
      <c r="E23" s="14">
        <f t="shared" ref="E23:AG23" si="14">IFERROR(IF(D23+1&gt;$B$24,"",D23+1),"")</f>
        <v>43924</v>
      </c>
      <c r="F23" s="14">
        <f t="shared" si="14"/>
        <v>43925</v>
      </c>
      <c r="G23" s="14">
        <f t="shared" si="14"/>
        <v>43926</v>
      </c>
      <c r="H23" s="14">
        <f t="shared" si="14"/>
        <v>43927</v>
      </c>
      <c r="I23" s="14">
        <f t="shared" si="14"/>
        <v>43928</v>
      </c>
      <c r="J23" s="14">
        <f t="shared" si="14"/>
        <v>43929</v>
      </c>
      <c r="K23" s="14">
        <f t="shared" si="14"/>
        <v>43930</v>
      </c>
      <c r="L23" s="14">
        <f t="shared" si="14"/>
        <v>43931</v>
      </c>
      <c r="M23" s="14">
        <f t="shared" si="14"/>
        <v>43932</v>
      </c>
      <c r="N23" s="14">
        <f t="shared" si="14"/>
        <v>43933</v>
      </c>
      <c r="O23" s="14">
        <f t="shared" si="14"/>
        <v>43934</v>
      </c>
      <c r="P23" s="14">
        <f t="shared" si="14"/>
        <v>43935</v>
      </c>
      <c r="Q23" s="14">
        <f t="shared" si="14"/>
        <v>43936</v>
      </c>
      <c r="R23" s="14">
        <f t="shared" si="14"/>
        <v>43937</v>
      </c>
      <c r="S23" s="14">
        <f t="shared" si="14"/>
        <v>43938</v>
      </c>
      <c r="T23" s="14">
        <f t="shared" si="14"/>
        <v>43939</v>
      </c>
      <c r="U23" s="14">
        <f t="shared" si="14"/>
        <v>43940</v>
      </c>
      <c r="V23" s="14">
        <f t="shared" si="14"/>
        <v>43941</v>
      </c>
      <c r="W23" s="14">
        <f t="shared" si="14"/>
        <v>43942</v>
      </c>
      <c r="X23" s="14">
        <f t="shared" si="14"/>
        <v>43943</v>
      </c>
      <c r="Y23" s="14">
        <f t="shared" si="14"/>
        <v>43944</v>
      </c>
      <c r="Z23" s="14">
        <f t="shared" si="14"/>
        <v>43945</v>
      </c>
      <c r="AA23" s="14">
        <f t="shared" si="14"/>
        <v>43946</v>
      </c>
      <c r="AB23" s="14">
        <f t="shared" si="14"/>
        <v>43947</v>
      </c>
      <c r="AC23" s="14">
        <f t="shared" si="14"/>
        <v>43948</v>
      </c>
      <c r="AD23" s="14">
        <f t="shared" si="14"/>
        <v>43949</v>
      </c>
      <c r="AE23" s="14">
        <f t="shared" si="14"/>
        <v>43950</v>
      </c>
      <c r="AF23" s="14">
        <f t="shared" si="14"/>
        <v>43951</v>
      </c>
      <c r="AG23" s="14" t="str">
        <f t="shared" si="14"/>
        <v/>
      </c>
      <c r="AH23" s="647">
        <f>COUNTIF(C27:AG27,AI23)</f>
        <v>0</v>
      </c>
      <c r="AI23" s="640" t="s">
        <v>8</v>
      </c>
      <c r="AJ23" s="13">
        <v>9</v>
      </c>
      <c r="AK23" s="1" t="s">
        <v>4</v>
      </c>
      <c r="AL23" s="22" t="s">
        <v>7</v>
      </c>
      <c r="AM23" s="33">
        <v>44178</v>
      </c>
      <c r="AN23" s="33">
        <v>44194</v>
      </c>
      <c r="AO23" s="635">
        <f>Absences26810[[#This Row],[debut]]</f>
        <v>44178</v>
      </c>
      <c r="BZ23" s="359">
        <f t="shared" si="13"/>
        <v>44291</v>
      </c>
      <c r="CA23" s="522">
        <f>CA22+1</f>
        <v>44291</v>
      </c>
      <c r="CB23" s="361" t="s">
        <v>725</v>
      </c>
      <c r="CC23" s="563"/>
      <c r="CD23" s="563"/>
      <c r="CE23" s="563"/>
    </row>
    <row r="24" spans="1:83" ht="18.75" x14ac:dyDescent="0.25">
      <c r="A24" s="13"/>
      <c r="B24" s="21">
        <f>EOMONTH(B23,0)</f>
        <v>43951</v>
      </c>
      <c r="C24" s="1476" t="s">
        <v>48</v>
      </c>
      <c r="D24" s="1477"/>
      <c r="E24" s="1477"/>
      <c r="F24" s="1477"/>
      <c r="G24" s="1477"/>
      <c r="H24" s="1477"/>
      <c r="I24" s="1477"/>
      <c r="J24" s="1477"/>
      <c r="K24" s="1477"/>
      <c r="L24" s="1477"/>
      <c r="M24" s="1477"/>
      <c r="N24" s="1477"/>
      <c r="O24" s="1477"/>
      <c r="P24" s="1477"/>
      <c r="Q24" s="1477"/>
      <c r="R24" s="1477"/>
      <c r="S24" s="1477"/>
      <c r="T24" s="1477"/>
      <c r="U24" s="1477"/>
      <c r="V24" s="1477"/>
      <c r="W24" s="1477"/>
      <c r="X24" s="1477"/>
      <c r="Y24" s="1477"/>
      <c r="Z24" s="1477"/>
      <c r="AA24" s="1477"/>
      <c r="AB24" s="1477"/>
      <c r="AC24" s="1477"/>
      <c r="AD24" s="1477"/>
      <c r="AE24" s="1477"/>
      <c r="AF24" s="1477"/>
      <c r="AG24" s="1478"/>
      <c r="AH24" s="648">
        <f>COUNTIF(C27:AG27,AI24)</f>
        <v>0</v>
      </c>
      <c r="AI24" s="629" t="s">
        <v>360</v>
      </c>
      <c r="AJ24" s="13">
        <v>10</v>
      </c>
      <c r="AL24" s="23"/>
      <c r="AM24" s="31"/>
      <c r="AN24" s="31"/>
      <c r="AO24" s="635">
        <f>Absences26810[[#This Row],[debut]]</f>
        <v>0</v>
      </c>
      <c r="AQ24" s="673" t="s">
        <v>826</v>
      </c>
      <c r="BZ24" s="359">
        <f t="shared" si="13"/>
        <v>44317</v>
      </c>
      <c r="CA24" s="522">
        <f>DATE(BZ4+1,5,1)</f>
        <v>44317</v>
      </c>
      <c r="CB24" s="361" t="s">
        <v>726</v>
      </c>
      <c r="CC24" s="563"/>
      <c r="CD24" s="563"/>
      <c r="CE24" s="563"/>
    </row>
    <row r="25" spans="1:83" ht="18.75" x14ac:dyDescent="0.25">
      <c r="A25" s="654"/>
      <c r="B25" s="657"/>
      <c r="C25" s="6">
        <f t="shared" ref="C25:AG25" si="15">IFERROR(DAY(C23),"")</f>
        <v>1</v>
      </c>
      <c r="D25" s="3">
        <f t="shared" si="15"/>
        <v>2</v>
      </c>
      <c r="E25" s="3">
        <f t="shared" si="15"/>
        <v>3</v>
      </c>
      <c r="F25" s="3">
        <f t="shared" si="15"/>
        <v>4</v>
      </c>
      <c r="G25" s="3">
        <f t="shared" si="15"/>
        <v>5</v>
      </c>
      <c r="H25" s="3">
        <f t="shared" si="15"/>
        <v>6</v>
      </c>
      <c r="I25" s="3">
        <f t="shared" si="15"/>
        <v>7</v>
      </c>
      <c r="J25" s="3">
        <f t="shared" si="15"/>
        <v>8</v>
      </c>
      <c r="K25" s="3">
        <f t="shared" si="15"/>
        <v>9</v>
      </c>
      <c r="L25" s="3">
        <f t="shared" si="15"/>
        <v>10</v>
      </c>
      <c r="M25" s="3">
        <f t="shared" si="15"/>
        <v>11</v>
      </c>
      <c r="N25" s="3">
        <f t="shared" si="15"/>
        <v>12</v>
      </c>
      <c r="O25" s="3">
        <f t="shared" si="15"/>
        <v>13</v>
      </c>
      <c r="P25" s="3">
        <f t="shared" si="15"/>
        <v>14</v>
      </c>
      <c r="Q25" s="3">
        <f t="shared" si="15"/>
        <v>15</v>
      </c>
      <c r="R25" s="3">
        <f t="shared" si="15"/>
        <v>16</v>
      </c>
      <c r="S25" s="3">
        <f t="shared" si="15"/>
        <v>17</v>
      </c>
      <c r="T25" s="3">
        <f t="shared" si="15"/>
        <v>18</v>
      </c>
      <c r="U25" s="3">
        <f t="shared" si="15"/>
        <v>19</v>
      </c>
      <c r="V25" s="3">
        <f t="shared" si="15"/>
        <v>20</v>
      </c>
      <c r="W25" s="3">
        <f t="shared" si="15"/>
        <v>21</v>
      </c>
      <c r="X25" s="3">
        <f t="shared" si="15"/>
        <v>22</v>
      </c>
      <c r="Y25" s="3">
        <f t="shared" si="15"/>
        <v>23</v>
      </c>
      <c r="Z25" s="3">
        <f t="shared" si="15"/>
        <v>24</v>
      </c>
      <c r="AA25" s="3">
        <f t="shared" si="15"/>
        <v>25</v>
      </c>
      <c r="AB25" s="3">
        <f t="shared" si="15"/>
        <v>26</v>
      </c>
      <c r="AC25" s="3">
        <f t="shared" si="15"/>
        <v>27</v>
      </c>
      <c r="AD25" s="3">
        <f t="shared" si="15"/>
        <v>28</v>
      </c>
      <c r="AE25" s="3">
        <f t="shared" si="15"/>
        <v>29</v>
      </c>
      <c r="AF25" s="3">
        <f t="shared" si="15"/>
        <v>30</v>
      </c>
      <c r="AG25" s="7" t="str">
        <f t="shared" si="15"/>
        <v/>
      </c>
      <c r="AH25" s="648">
        <f>COUNTIF(C27:AG27,AI25)</f>
        <v>6</v>
      </c>
      <c r="AI25" s="10" t="s">
        <v>6</v>
      </c>
      <c r="AJ25" s="13">
        <v>11</v>
      </c>
      <c r="AL25" s="23"/>
      <c r="AM25" s="31"/>
      <c r="AN25" s="31"/>
      <c r="AO25" s="635">
        <f>Absences26810[[#This Row],[debut]]</f>
        <v>0</v>
      </c>
      <c r="BZ25" s="359">
        <f t="shared" si="13"/>
        <v>494</v>
      </c>
      <c r="CA25" s="360">
        <f>DATE($Y$2+1,5,8)</f>
        <v>494</v>
      </c>
      <c r="CB25" s="361" t="s">
        <v>728</v>
      </c>
      <c r="CC25" s="563"/>
      <c r="CD25" s="563"/>
      <c r="CE25" s="563"/>
    </row>
    <row r="26" spans="1:83" ht="18.75" x14ac:dyDescent="0.25">
      <c r="A26" s="655" t="s">
        <v>800</v>
      </c>
      <c r="B26" s="658">
        <f>COUNTIF(C27:AG27,A26)</f>
        <v>0</v>
      </c>
      <c r="C26" s="5">
        <f t="shared" ref="C26:AC26" si="16">IF(C23="","",WEEKDAY(C23,1))</f>
        <v>4</v>
      </c>
      <c r="D26" s="8">
        <f t="shared" si="16"/>
        <v>5</v>
      </c>
      <c r="E26" s="8">
        <f t="shared" si="16"/>
        <v>6</v>
      </c>
      <c r="F26" s="8">
        <f t="shared" si="16"/>
        <v>7</v>
      </c>
      <c r="G26" s="8">
        <f t="shared" si="16"/>
        <v>1</v>
      </c>
      <c r="H26" s="8">
        <f t="shared" si="16"/>
        <v>2</v>
      </c>
      <c r="I26" s="8">
        <f t="shared" si="16"/>
        <v>3</v>
      </c>
      <c r="J26" s="8">
        <f t="shared" si="16"/>
        <v>4</v>
      </c>
      <c r="K26" s="8">
        <f t="shared" si="16"/>
        <v>5</v>
      </c>
      <c r="L26" s="8">
        <f t="shared" si="16"/>
        <v>6</v>
      </c>
      <c r="M26" s="8">
        <f t="shared" si="16"/>
        <v>7</v>
      </c>
      <c r="N26" s="8">
        <f t="shared" si="16"/>
        <v>1</v>
      </c>
      <c r="O26" s="8">
        <f t="shared" si="16"/>
        <v>2</v>
      </c>
      <c r="P26" s="8">
        <f t="shared" si="16"/>
        <v>3</v>
      </c>
      <c r="Q26" s="8">
        <f t="shared" si="16"/>
        <v>4</v>
      </c>
      <c r="R26" s="8">
        <f t="shared" si="16"/>
        <v>5</v>
      </c>
      <c r="S26" s="8">
        <f t="shared" si="16"/>
        <v>6</v>
      </c>
      <c r="T26" s="8">
        <f t="shared" si="16"/>
        <v>7</v>
      </c>
      <c r="U26" s="8">
        <f t="shared" si="16"/>
        <v>1</v>
      </c>
      <c r="V26" s="8">
        <f t="shared" si="16"/>
        <v>2</v>
      </c>
      <c r="W26" s="8">
        <f t="shared" si="16"/>
        <v>3</v>
      </c>
      <c r="X26" s="8">
        <f t="shared" si="16"/>
        <v>4</v>
      </c>
      <c r="Y26" s="8">
        <f t="shared" si="16"/>
        <v>5</v>
      </c>
      <c r="Z26" s="8">
        <f t="shared" si="16"/>
        <v>6</v>
      </c>
      <c r="AA26" s="8">
        <f t="shared" si="16"/>
        <v>7</v>
      </c>
      <c r="AB26" s="8">
        <f t="shared" si="16"/>
        <v>1</v>
      </c>
      <c r="AC26" s="8">
        <f t="shared" si="16"/>
        <v>2</v>
      </c>
      <c r="AD26" s="8">
        <f>IF(AD23="","",WEEKDAY(AD23,1))</f>
        <v>3</v>
      </c>
      <c r="AE26" s="8">
        <f>IF(AE23="","",WEEKDAY(AE23,1))</f>
        <v>4</v>
      </c>
      <c r="AF26" s="8">
        <f t="shared" ref="AF26:AG26" si="17">IF(AF23="","",WEEKDAY(AF23,1))</f>
        <v>5</v>
      </c>
      <c r="AG26" s="9" t="str">
        <f t="shared" si="17"/>
        <v/>
      </c>
      <c r="AH26" s="648">
        <f>COUNTIF(C27:AG27,AI26)</f>
        <v>0</v>
      </c>
      <c r="AI26" s="633" t="s">
        <v>799</v>
      </c>
      <c r="AJ26" s="13">
        <v>12</v>
      </c>
      <c r="AL26" s="23"/>
      <c r="AM26" s="31"/>
      <c r="AN26" s="31"/>
      <c r="AO26" s="635">
        <f>Absences26810[[#This Row],[debut]]</f>
        <v>0</v>
      </c>
      <c r="BZ26" s="359">
        <f t="shared" si="13"/>
        <v>44329</v>
      </c>
      <c r="CA26" s="360">
        <f>CA22+39</f>
        <v>44329</v>
      </c>
      <c r="CB26" s="361" t="s">
        <v>729</v>
      </c>
      <c r="CC26" s="563"/>
      <c r="CD26" s="563"/>
      <c r="CE26" s="563"/>
    </row>
    <row r="27" spans="1:83" ht="19.5" thickBot="1" x14ac:dyDescent="0.3">
      <c r="A27" s="656" t="s">
        <v>7</v>
      </c>
      <c r="B27" s="659">
        <f>COUNTIF(C27:AG27,A27)</f>
        <v>0</v>
      </c>
      <c r="C27" s="27" t="str">
        <f t="array" ref="C27">IF(OR(C26=1,C26=7),"",IFERROR(INDEX($AK$15:$AN$114,MATCH(1,(C23&gt;=$AM$15:$AM$114)*($AN$15:$AN$114&gt;=C23)*($AK$15:$AK$114=$U$2),0),2),""))</f>
        <v/>
      </c>
      <c r="D27" s="28" t="str">
        <f t="array" ref="D27">IF(OR(D26=1,D26=7),"",IFERROR(INDEX($AK$15:$AN$114,MATCH(1,(D23&gt;=$AM$15:$AM$114)*($AN$15:$AN$114&gt;=D23)*($AK$15:$AK$114=$U$2),0),2),""))</f>
        <v/>
      </c>
      <c r="E27" s="28" t="str">
        <f t="array" ref="E27">IF(OR(E26=1,E26=7),"",IFERROR(INDEX($AK$15:$AN$114,MATCH(1,(E23&gt;=$AM$15:$AM$114)*($AN$15:$AN$114&gt;=E23)*($AK$15:$AK$114=$U$2),0),2),""))</f>
        <v/>
      </c>
      <c r="F27" s="28" t="str">
        <f t="array" ref="F27">IF(OR(F26=1,F26=7),"",IFERROR(INDEX($AK$15:$AN$114,MATCH(1,(F23&gt;=$AM$15:$AM$114)*($AN$15:$AN$114&gt;=F23)*($AK$15:$AK$114=$U$2),0),2),""))</f>
        <v/>
      </c>
      <c r="G27" s="28" t="str">
        <f t="array" ref="G27">IF(OR(G26=1,G26=7),"",IFERROR(INDEX($AK$15:$AN$114,MATCH(1,(G23&gt;=$AM$15:$AM$114)*($AN$15:$AN$114&gt;=G23)*($AK$15:$AK$114=$U$2),0),2),""))</f>
        <v/>
      </c>
      <c r="H27" s="28" t="str">
        <f t="array" ref="H27">IF(OR(H26=1,H26=7),"",IFERROR(INDEX($AK$15:$AN$114,MATCH(1,(H23&gt;=$AM$15:$AM$114)*($AN$15:$AN$114&gt;=H23)*($AK$15:$AK$114=$U$2),0),2),""))</f>
        <v/>
      </c>
      <c r="I27" s="28" t="str">
        <f t="array" ref="I27">IF(OR(I26=1,I26=7),"",IFERROR(INDEX($AK$15:$AN$114,MATCH(1,(I23&gt;=$AM$15:$AM$114)*($AN$15:$AN$114&gt;=I23)*($AK$15:$AK$114=$U$2),0),2),""))</f>
        <v/>
      </c>
      <c r="J27" s="28" t="str">
        <f t="array" ref="J27">IF(OR(J26=1,J26=7),"",IFERROR(INDEX($AK$15:$AN$114,MATCH(1,(J23&gt;=$AM$15:$AM$114)*($AN$15:$AN$114&gt;=J23)*($AK$15:$AK$114=$U$2),0),2),""))</f>
        <v>M</v>
      </c>
      <c r="K27" s="28" t="str">
        <f t="array" ref="K27">IF(OR(K26=1,K26=7),"",IFERROR(INDEX($AK$15:$AN$114,MATCH(1,(K23&gt;=$AM$15:$AM$114)*($AN$15:$AN$114&gt;=K23)*($AK$15:$AK$114=$U$2),0),2),""))</f>
        <v>M</v>
      </c>
      <c r="L27" s="28" t="str">
        <f t="array" ref="L27">IF(OR(L26=1,L26=7),"",IFERROR(INDEX($AK$15:$AN$114,MATCH(1,(L23&gt;=$AM$15:$AM$114)*($AN$15:$AN$114&gt;=L23)*($AK$15:$AK$114=$U$2),0),2),""))</f>
        <v>M</v>
      </c>
      <c r="M27" s="28" t="str">
        <f t="array" ref="M27">IF(OR(M26=1,M26=7),"",IFERROR(INDEX($AK$15:$AN$114,MATCH(1,(M23&gt;=$AM$15:$AM$114)*($AN$15:$AN$114&gt;=M23)*($AK$15:$AK$114=$U$2),0),2),""))</f>
        <v/>
      </c>
      <c r="N27" s="28" t="str">
        <f t="array" ref="N27">IF(OR(N26=1,N26=7),"",IFERROR(INDEX($AK$15:$AN$114,MATCH(1,(N23&gt;=$AM$15:$AM$114)*($AN$15:$AN$114&gt;=N23)*($AK$15:$AK$114=$U$2),0),2),""))</f>
        <v/>
      </c>
      <c r="O27" s="28" t="str">
        <f t="array" ref="O27">IF(OR(O26=1,O26=7),"",IFERROR(INDEX($AK$15:$AN$114,MATCH(1,(O23&gt;=$AM$15:$AM$114)*($AN$15:$AN$114&gt;=O23)*($AK$15:$AK$114=$U$2),0),2),""))</f>
        <v>M</v>
      </c>
      <c r="P27" s="28" t="str">
        <f t="array" ref="P27">IF(OR(P26=1,P26=7),"",IFERROR(INDEX($AK$15:$AN$114,MATCH(1,(P23&gt;=$AM$15:$AM$114)*($AN$15:$AN$114&gt;=P23)*($AK$15:$AK$114=$U$2),0),2),""))</f>
        <v>M</v>
      </c>
      <c r="Q27" s="28" t="str">
        <f t="array" ref="Q27">IF(OR(Q26=1,Q26=7),"",IFERROR(INDEX($AK$15:$AN$114,MATCH(1,(Q23&gt;=$AM$15:$AM$114)*($AN$15:$AN$114&gt;=Q23)*($AK$15:$AK$114=$U$2),0),2),""))</f>
        <v>M</v>
      </c>
      <c r="R27" s="28" t="str">
        <f t="array" ref="R27">IF(OR(R26=1,R26=7),"",IFERROR(INDEX($AK$15:$AN$114,MATCH(1,(R23&gt;=$AM$15:$AM$114)*($AN$15:$AN$114&gt;=R23)*($AK$15:$AK$114=$U$2),0),2),""))</f>
        <v/>
      </c>
      <c r="S27" s="28" t="str">
        <f t="array" ref="S27">IF(OR(S26=1,S26=7),"",IFERROR(INDEX($AK$15:$AN$114,MATCH(1,(S23&gt;=$AM$15:$AM$114)*($AN$15:$AN$114&gt;=S23)*($AK$15:$AK$114=$U$2),0),2),""))</f>
        <v/>
      </c>
      <c r="T27" s="28" t="str">
        <f t="array" ref="T27">IF(OR(T26=1,T26=7),"",IFERROR(INDEX($AK$15:$AN$114,MATCH(1,(T23&gt;=$AM$15:$AM$114)*($AN$15:$AN$114&gt;=T23)*($AK$15:$AK$114=$U$2),0),2),""))</f>
        <v/>
      </c>
      <c r="U27" s="28" t="str">
        <f t="array" ref="U27">IF(OR(U26=1,U26=7),"",IFERROR(INDEX($AK$15:$AN$114,MATCH(1,(U23&gt;=$AM$15:$AM$114)*($AN$15:$AN$114&gt;=U23)*($AK$15:$AK$114=$U$2),0),2),""))</f>
        <v/>
      </c>
      <c r="V27" s="28" t="str">
        <f t="array" ref="V27">IF(OR(V26=1,V26=7),"",IFERROR(INDEX($AK$15:$AN$114,MATCH(1,(V23&gt;=$AM$15:$AM$114)*($AN$15:$AN$114&gt;=V23)*($AK$15:$AK$114=$U$2),0),2),""))</f>
        <v/>
      </c>
      <c r="W27" s="28" t="str">
        <f t="array" ref="W27">IF(OR(W26=1,W26=7),"",IFERROR(INDEX($AK$15:$AN$114,MATCH(1,(W23&gt;=$AM$15:$AM$114)*($AN$15:$AN$114&gt;=W23)*($AK$15:$AK$114=$U$2),0),2),""))</f>
        <v/>
      </c>
      <c r="X27" s="28" t="str">
        <f t="array" ref="X27">IF(OR(X26=1,X26=7),"",IFERROR(INDEX($AK$15:$AN$114,MATCH(1,(X23&gt;=$AM$15:$AM$114)*($AN$15:$AN$114&gt;=X23)*($AK$15:$AK$114=$U$2),0),2),""))</f>
        <v/>
      </c>
      <c r="Y27" s="28" t="str">
        <f t="array" ref="Y27">IF(OR(Y26=1,Y26=7),"",IFERROR(INDEX($AK$15:$AN$114,MATCH(1,(Y23&gt;=$AM$15:$AM$114)*($AN$15:$AN$114&gt;=Y23)*($AK$15:$AK$114=$U$2),0),2),""))</f>
        <v/>
      </c>
      <c r="Z27" s="28" t="str">
        <f t="array" ref="Z27">IF(OR(Z26=1,Z26=7),"",IFERROR(INDEX($AK$15:$AN$114,MATCH(1,(Z23&gt;=$AM$15:$AM$114)*($AN$15:$AN$114&gt;=Z23)*($AK$15:$AK$114=$U$2),0),2),""))</f>
        <v/>
      </c>
      <c r="AA27" s="28" t="str">
        <f t="array" ref="AA27">IF(OR(AA26=1,AA26=7),"",IFERROR(INDEX($AK$15:$AN$114,MATCH(1,(AA23&gt;=$AM$15:$AM$114)*($AN$15:$AN$114&gt;=AA23)*($AK$15:$AK$114=$U$2),0),2),""))</f>
        <v/>
      </c>
      <c r="AB27" s="28" t="str">
        <f t="array" ref="AB27">IF(OR(AB26=1,AB26=7),"",IFERROR(INDEX($AK$15:$AN$114,MATCH(1,(AB23&gt;=$AM$15:$AM$114)*($AN$15:$AN$114&gt;=AB23)*($AK$15:$AK$114=$U$2),0),2),""))</f>
        <v/>
      </c>
      <c r="AC27" s="28" t="str">
        <f t="array" ref="AC27">IF(OR(AC26=1,AC26=7),"",IFERROR(INDEX($AK$15:$AN$114,MATCH(1,(AC23&gt;=$AM$15:$AM$114)*($AN$15:$AN$114&gt;=AC23)*($AK$15:$AK$114=$U$2),0),2),""))</f>
        <v/>
      </c>
      <c r="AD27" s="28" t="str">
        <f t="array" ref="AD27">IF(OR(AD26=1,AD26=7),"",IFERROR(INDEX($AK$15:$AN$114,MATCH(1,(AD23&gt;=$AM$15:$AM$114)*($AN$15:$AN$114&gt;=AD23)*($AK$15:$AK$114=$U$2),0),2),""))</f>
        <v/>
      </c>
      <c r="AE27" s="28" t="str">
        <f t="array" ref="AE27">IF(OR(AE26=1,AE26=7),"",IFERROR(INDEX($AK$15:$AN$114,MATCH(1,(AE23&gt;=$AM$15:$AM$114)*($AN$15:$AN$114&gt;=AE23)*($AK$15:$AK$114=$U$2),0),2),""))</f>
        <v/>
      </c>
      <c r="AF27" s="28" t="str">
        <f t="array" ref="AF27">IF(OR(AF26=1,AF26=7),"",IFERROR(INDEX($AK$15:$AN$114,MATCH(1,(AF23&gt;=$AM$15:$AM$114)*($AN$15:$AN$114&gt;=AF23)*($AK$15:$AK$114=$U$2),0),2),""))</f>
        <v/>
      </c>
      <c r="AG27" s="29" t="str">
        <f t="array" ref="AG27">IF(OR(AG26=1,AG26=7),"",IFERROR(INDEX($AK$15:$AN$114,MATCH(1,(AG23&gt;=$AM$15:$AM$114)*($AN$15:$AN$114&gt;=AG23)*($AK$15:$AK$114=$U$2),0),2),""))</f>
        <v/>
      </c>
      <c r="AH27" s="649">
        <f>COUNTIF(C27:AG27,AI27)</f>
        <v>0</v>
      </c>
      <c r="AI27" s="641" t="s">
        <v>362</v>
      </c>
      <c r="AJ27" s="13">
        <v>13</v>
      </c>
      <c r="AL27" s="23"/>
      <c r="AM27" s="31"/>
      <c r="AN27" s="31"/>
      <c r="AO27" s="635">
        <f>Absences26810[[#This Row],[debut]]</f>
        <v>0</v>
      </c>
      <c r="BZ27" s="359">
        <f t="shared" si="13"/>
        <v>44339</v>
      </c>
      <c r="CA27" s="360">
        <f>CA22+49</f>
        <v>44339</v>
      </c>
      <c r="CB27" s="361" t="s">
        <v>731</v>
      </c>
      <c r="CC27" s="563"/>
      <c r="CD27" s="563"/>
      <c r="CE27" s="563"/>
    </row>
    <row r="28" spans="1:83" ht="14.25" customHeight="1" x14ac:dyDescent="0.25">
      <c r="A28" s="13"/>
      <c r="B28" s="20">
        <f>DATE($C$2,MONTH(1&amp;"/"&amp;C29),1)</f>
        <v>43952</v>
      </c>
      <c r="C28" s="14">
        <f>B28</f>
        <v>43952</v>
      </c>
      <c r="D28" s="14">
        <f>IFERROR(IF(C28+1&gt;$B$29,"",C28+1),"")</f>
        <v>43953</v>
      </c>
      <c r="E28" s="14">
        <f t="shared" ref="E28:AG28" si="18">IFERROR(IF(D28+1&gt;$B$29,"",D28+1),"")</f>
        <v>43954</v>
      </c>
      <c r="F28" s="14">
        <f t="shared" si="18"/>
        <v>43955</v>
      </c>
      <c r="G28" s="14">
        <f t="shared" si="18"/>
        <v>43956</v>
      </c>
      <c r="H28" s="14">
        <f t="shared" si="18"/>
        <v>43957</v>
      </c>
      <c r="I28" s="14">
        <f t="shared" si="18"/>
        <v>43958</v>
      </c>
      <c r="J28" s="14">
        <f t="shared" si="18"/>
        <v>43959</v>
      </c>
      <c r="K28" s="14">
        <f t="shared" si="18"/>
        <v>43960</v>
      </c>
      <c r="L28" s="14">
        <f t="shared" si="18"/>
        <v>43961</v>
      </c>
      <c r="M28" s="14">
        <f t="shared" si="18"/>
        <v>43962</v>
      </c>
      <c r="N28" s="14">
        <f t="shared" si="18"/>
        <v>43963</v>
      </c>
      <c r="O28" s="14">
        <f t="shared" si="18"/>
        <v>43964</v>
      </c>
      <c r="P28" s="14">
        <f t="shared" si="18"/>
        <v>43965</v>
      </c>
      <c r="Q28" s="14">
        <f t="shared" si="18"/>
        <v>43966</v>
      </c>
      <c r="R28" s="14">
        <f t="shared" si="18"/>
        <v>43967</v>
      </c>
      <c r="S28" s="14">
        <f t="shared" si="18"/>
        <v>43968</v>
      </c>
      <c r="T28" s="14">
        <f t="shared" si="18"/>
        <v>43969</v>
      </c>
      <c r="U28" s="14">
        <f t="shared" si="18"/>
        <v>43970</v>
      </c>
      <c r="V28" s="14">
        <f t="shared" si="18"/>
        <v>43971</v>
      </c>
      <c r="W28" s="14">
        <f t="shared" si="18"/>
        <v>43972</v>
      </c>
      <c r="X28" s="14">
        <f t="shared" si="18"/>
        <v>43973</v>
      </c>
      <c r="Y28" s="14">
        <f t="shared" si="18"/>
        <v>43974</v>
      </c>
      <c r="Z28" s="14">
        <f t="shared" si="18"/>
        <v>43975</v>
      </c>
      <c r="AA28" s="14">
        <f t="shared" si="18"/>
        <v>43976</v>
      </c>
      <c r="AB28" s="14">
        <f t="shared" si="18"/>
        <v>43977</v>
      </c>
      <c r="AC28" s="14">
        <f t="shared" si="18"/>
        <v>43978</v>
      </c>
      <c r="AD28" s="14">
        <f t="shared" si="18"/>
        <v>43979</v>
      </c>
      <c r="AE28" s="14">
        <f t="shared" si="18"/>
        <v>43980</v>
      </c>
      <c r="AF28" s="14">
        <f t="shared" si="18"/>
        <v>43981</v>
      </c>
      <c r="AG28" s="14">
        <f t="shared" si="18"/>
        <v>43982</v>
      </c>
      <c r="AH28" s="647">
        <f>COUNTIF(C32:AG32,AI28)</f>
        <v>0</v>
      </c>
      <c r="AI28" s="640" t="s">
        <v>8</v>
      </c>
      <c r="AJ28" s="13">
        <v>14</v>
      </c>
      <c r="AL28" s="23"/>
      <c r="AM28" s="31"/>
      <c r="AN28" s="31"/>
      <c r="AO28" s="635">
        <f>Absences26810[[#This Row],[debut]]</f>
        <v>0</v>
      </c>
      <c r="BZ28" s="359">
        <f t="shared" si="13"/>
        <v>44340</v>
      </c>
      <c r="CA28" s="360">
        <f>CA27+1</f>
        <v>44340</v>
      </c>
      <c r="CB28" s="361" t="s">
        <v>732</v>
      </c>
      <c r="CC28" s="563"/>
      <c r="CD28" s="563"/>
      <c r="CE28" s="563"/>
    </row>
    <row r="29" spans="1:83" ht="18.75" x14ac:dyDescent="0.25">
      <c r="A29" s="13"/>
      <c r="B29" s="21">
        <f>EOMONTH(B28,0)</f>
        <v>43982</v>
      </c>
      <c r="C29" s="1476" t="s">
        <v>46</v>
      </c>
      <c r="D29" s="1477"/>
      <c r="E29" s="1477"/>
      <c r="F29" s="1477"/>
      <c r="G29" s="1477"/>
      <c r="H29" s="1477"/>
      <c r="I29" s="1477"/>
      <c r="J29" s="1477"/>
      <c r="K29" s="1477"/>
      <c r="L29" s="1477"/>
      <c r="M29" s="1477"/>
      <c r="N29" s="1477"/>
      <c r="O29" s="1477"/>
      <c r="P29" s="1477"/>
      <c r="Q29" s="1477"/>
      <c r="R29" s="1477"/>
      <c r="S29" s="1477"/>
      <c r="T29" s="1477"/>
      <c r="U29" s="1477"/>
      <c r="V29" s="1477"/>
      <c r="W29" s="1477"/>
      <c r="X29" s="1477"/>
      <c r="Y29" s="1477"/>
      <c r="Z29" s="1477"/>
      <c r="AA29" s="1477"/>
      <c r="AB29" s="1477"/>
      <c r="AC29" s="1477"/>
      <c r="AD29" s="1477"/>
      <c r="AE29" s="1477"/>
      <c r="AF29" s="1477"/>
      <c r="AG29" s="1478"/>
      <c r="AH29" s="648">
        <f>COUNTIF(C32:AG32,AI29)</f>
        <v>0</v>
      </c>
      <c r="AI29" s="629" t="s">
        <v>360</v>
      </c>
      <c r="AJ29" s="13">
        <v>15</v>
      </c>
      <c r="AL29" s="23"/>
      <c r="AM29" s="31"/>
      <c r="AN29" s="31"/>
      <c r="AO29" s="635">
        <f>Absences26810[[#This Row],[debut]]</f>
        <v>0</v>
      </c>
      <c r="BZ29" s="359">
        <f t="shared" si="13"/>
        <v>44391</v>
      </c>
      <c r="CA29" s="360">
        <f>DATE(BZ4+1,7,14)</f>
        <v>44391</v>
      </c>
      <c r="CB29" s="361" t="s">
        <v>733</v>
      </c>
      <c r="CC29" s="563"/>
      <c r="CD29" s="563"/>
      <c r="CE29" s="563"/>
    </row>
    <row r="30" spans="1:83" ht="18.75" x14ac:dyDescent="0.25">
      <c r="A30" s="654"/>
      <c r="B30" s="657"/>
      <c r="C30" s="6">
        <f t="shared" ref="C30:AG30" si="19">IFERROR(DAY(C28),"")</f>
        <v>1</v>
      </c>
      <c r="D30" s="3">
        <f t="shared" si="19"/>
        <v>2</v>
      </c>
      <c r="E30" s="3">
        <f t="shared" si="19"/>
        <v>3</v>
      </c>
      <c r="F30" s="3">
        <f t="shared" si="19"/>
        <v>4</v>
      </c>
      <c r="G30" s="3">
        <f t="shared" si="19"/>
        <v>5</v>
      </c>
      <c r="H30" s="3">
        <f t="shared" si="19"/>
        <v>6</v>
      </c>
      <c r="I30" s="3">
        <f t="shared" si="19"/>
        <v>7</v>
      </c>
      <c r="J30" s="3">
        <f t="shared" si="19"/>
        <v>8</v>
      </c>
      <c r="K30" s="3">
        <f t="shared" si="19"/>
        <v>9</v>
      </c>
      <c r="L30" s="3">
        <f t="shared" si="19"/>
        <v>10</v>
      </c>
      <c r="M30" s="3">
        <f t="shared" si="19"/>
        <v>11</v>
      </c>
      <c r="N30" s="3">
        <f t="shared" si="19"/>
        <v>12</v>
      </c>
      <c r="O30" s="3">
        <f t="shared" si="19"/>
        <v>13</v>
      </c>
      <c r="P30" s="3">
        <f t="shared" si="19"/>
        <v>14</v>
      </c>
      <c r="Q30" s="3">
        <f t="shared" si="19"/>
        <v>15</v>
      </c>
      <c r="R30" s="3">
        <f t="shared" si="19"/>
        <v>16</v>
      </c>
      <c r="S30" s="3">
        <f t="shared" si="19"/>
        <v>17</v>
      </c>
      <c r="T30" s="3">
        <f t="shared" si="19"/>
        <v>18</v>
      </c>
      <c r="U30" s="3">
        <f t="shared" si="19"/>
        <v>19</v>
      </c>
      <c r="V30" s="3">
        <f t="shared" si="19"/>
        <v>20</v>
      </c>
      <c r="W30" s="3">
        <f t="shared" si="19"/>
        <v>21</v>
      </c>
      <c r="X30" s="3">
        <f t="shared" si="19"/>
        <v>22</v>
      </c>
      <c r="Y30" s="3">
        <f t="shared" si="19"/>
        <v>23</v>
      </c>
      <c r="Z30" s="3">
        <f t="shared" si="19"/>
        <v>24</v>
      </c>
      <c r="AA30" s="3">
        <f t="shared" si="19"/>
        <v>25</v>
      </c>
      <c r="AB30" s="3">
        <f t="shared" si="19"/>
        <v>26</v>
      </c>
      <c r="AC30" s="3">
        <f t="shared" si="19"/>
        <v>27</v>
      </c>
      <c r="AD30" s="3">
        <f t="shared" si="19"/>
        <v>28</v>
      </c>
      <c r="AE30" s="3">
        <f t="shared" si="19"/>
        <v>29</v>
      </c>
      <c r="AF30" s="3">
        <f t="shared" si="19"/>
        <v>30</v>
      </c>
      <c r="AG30" s="7">
        <f t="shared" si="19"/>
        <v>31</v>
      </c>
      <c r="AH30" s="648">
        <f>COUNTIF(C32:AG32,AI30)</f>
        <v>0</v>
      </c>
      <c r="AI30" s="10" t="s">
        <v>6</v>
      </c>
      <c r="AJ30" s="13">
        <v>16</v>
      </c>
      <c r="AL30" s="23"/>
      <c r="AM30" s="31"/>
      <c r="AN30" s="31"/>
      <c r="AO30" s="635">
        <f>Absences26810[[#This Row],[debut]]</f>
        <v>0</v>
      </c>
      <c r="BZ30" s="359">
        <f t="shared" si="13"/>
        <v>44423</v>
      </c>
      <c r="CA30" s="360">
        <f>DATE(BZ4+1,8,15)</f>
        <v>44423</v>
      </c>
      <c r="CB30" s="361" t="s">
        <v>586</v>
      </c>
      <c r="CC30" s="563"/>
      <c r="CD30" s="563"/>
      <c r="CE30" s="563"/>
    </row>
    <row r="31" spans="1:83" ht="18.75" x14ac:dyDescent="0.25">
      <c r="A31" s="655" t="s">
        <v>800</v>
      </c>
      <c r="B31" s="658">
        <f>COUNTIF(C32:AG32,A31)</f>
        <v>0</v>
      </c>
      <c r="C31" s="5">
        <f t="shared" ref="C31:AC31" si="20">IF(C28="","",WEEKDAY(C28,1))</f>
        <v>6</v>
      </c>
      <c r="D31" s="8">
        <f t="shared" si="20"/>
        <v>7</v>
      </c>
      <c r="E31" s="8">
        <f t="shared" si="20"/>
        <v>1</v>
      </c>
      <c r="F31" s="8">
        <f t="shared" si="20"/>
        <v>2</v>
      </c>
      <c r="G31" s="8">
        <f t="shared" si="20"/>
        <v>3</v>
      </c>
      <c r="H31" s="8">
        <f t="shared" si="20"/>
        <v>4</v>
      </c>
      <c r="I31" s="8">
        <f t="shared" si="20"/>
        <v>5</v>
      </c>
      <c r="J31" s="8">
        <f t="shared" si="20"/>
        <v>6</v>
      </c>
      <c r="K31" s="8">
        <f t="shared" si="20"/>
        <v>7</v>
      </c>
      <c r="L31" s="8">
        <f t="shared" si="20"/>
        <v>1</v>
      </c>
      <c r="M31" s="8">
        <f t="shared" si="20"/>
        <v>2</v>
      </c>
      <c r="N31" s="8">
        <f t="shared" si="20"/>
        <v>3</v>
      </c>
      <c r="O31" s="8">
        <f t="shared" si="20"/>
        <v>4</v>
      </c>
      <c r="P31" s="8">
        <f t="shared" si="20"/>
        <v>5</v>
      </c>
      <c r="Q31" s="8">
        <f t="shared" si="20"/>
        <v>6</v>
      </c>
      <c r="R31" s="8">
        <f t="shared" si="20"/>
        <v>7</v>
      </c>
      <c r="S31" s="8">
        <f t="shared" si="20"/>
        <v>1</v>
      </c>
      <c r="T31" s="8">
        <f t="shared" si="20"/>
        <v>2</v>
      </c>
      <c r="U31" s="8">
        <f t="shared" si="20"/>
        <v>3</v>
      </c>
      <c r="V31" s="8">
        <f t="shared" si="20"/>
        <v>4</v>
      </c>
      <c r="W31" s="8">
        <f t="shared" si="20"/>
        <v>5</v>
      </c>
      <c r="X31" s="8">
        <f t="shared" si="20"/>
        <v>6</v>
      </c>
      <c r="Y31" s="8">
        <f t="shared" si="20"/>
        <v>7</v>
      </c>
      <c r="Z31" s="8">
        <f t="shared" si="20"/>
        <v>1</v>
      </c>
      <c r="AA31" s="8">
        <f t="shared" si="20"/>
        <v>2</v>
      </c>
      <c r="AB31" s="8">
        <f t="shared" si="20"/>
        <v>3</v>
      </c>
      <c r="AC31" s="8">
        <f t="shared" si="20"/>
        <v>4</v>
      </c>
      <c r="AD31" s="8">
        <f>IF(AD28="","",WEEKDAY(AD28,1))</f>
        <v>5</v>
      </c>
      <c r="AE31" s="8">
        <f>IF(AE28="","",WEEKDAY(AE28,1))</f>
        <v>6</v>
      </c>
      <c r="AF31" s="8">
        <f t="shared" ref="AF31:AG31" si="21">IF(AF28="","",WEEKDAY(AF28,1))</f>
        <v>7</v>
      </c>
      <c r="AG31" s="9">
        <f t="shared" si="21"/>
        <v>1</v>
      </c>
      <c r="AH31" s="648">
        <f>COUNTIF(C32:AG32,AI31)</f>
        <v>0</v>
      </c>
      <c r="AI31" s="633" t="s">
        <v>799</v>
      </c>
      <c r="AJ31" s="13">
        <v>17</v>
      </c>
      <c r="AL31" s="23"/>
      <c r="AM31" s="31"/>
      <c r="AN31" s="31"/>
      <c r="AO31" s="635">
        <f>Absences26810[[#This Row],[debut]]</f>
        <v>0</v>
      </c>
      <c r="BZ31" s="359">
        <f t="shared" si="13"/>
        <v>44501</v>
      </c>
      <c r="CA31" s="360">
        <f>DATE(BZ4+1,11,1)</f>
        <v>44501</v>
      </c>
      <c r="CB31" s="361" t="s">
        <v>735</v>
      </c>
      <c r="CC31" s="563"/>
      <c r="CD31" s="563"/>
      <c r="CE31" s="563"/>
    </row>
    <row r="32" spans="1:83" ht="19.5" thickBot="1" x14ac:dyDescent="0.3">
      <c r="A32" s="656" t="s">
        <v>7</v>
      </c>
      <c r="B32" s="659">
        <f>COUNTIF(C32:AG32,A32)</f>
        <v>0</v>
      </c>
      <c r="C32" s="27" t="str">
        <f t="array" ref="C32">IF(OR(C31=1,C31=7),"",IFERROR(INDEX($AK$15:$AN$114,MATCH(1,(C28&gt;=$AM$15:$AM$114)*($AN$15:$AN$114&gt;=C28)*($AK$15:$AK$114=$U$2),0),2),""))</f>
        <v/>
      </c>
      <c r="D32" s="28" t="str">
        <f t="array" ref="D32">IF(OR(D31=1,D31=7),"",IFERROR(INDEX($AK$15:$AN$114,MATCH(1,(D28&gt;=$AM$15:$AM$114)*($AN$15:$AN$114&gt;=D28)*($AK$15:$AK$114=$U$2),0),2),""))</f>
        <v/>
      </c>
      <c r="E32" s="28" t="str">
        <f t="array" ref="E32">IF(OR(E31=1,E31=7),"",IFERROR(INDEX($AK$15:$AN$114,MATCH(1,(E28&gt;=$AM$15:$AM$114)*($AN$15:$AN$114&gt;=E28)*($AK$15:$AK$114=$U$2),0),2),""))</f>
        <v/>
      </c>
      <c r="F32" s="28" t="str">
        <f t="array" ref="F32">IF(OR(F31=1,F31=7),"",IFERROR(INDEX($AK$15:$AN$114,MATCH(1,(F28&gt;=$AM$15:$AM$114)*($AN$15:$AN$114&gt;=F28)*($AK$15:$AK$114=$U$2),0),2),""))</f>
        <v/>
      </c>
      <c r="G32" s="28" t="str">
        <f t="array" ref="G32">IF(OR(G31=1,G31=7),"",IFERROR(INDEX($AK$15:$AN$114,MATCH(1,(G28&gt;=$AM$15:$AM$114)*($AN$15:$AN$114&gt;=G28)*($AK$15:$AK$114=$U$2),0),2),""))</f>
        <v/>
      </c>
      <c r="H32" s="28" t="str">
        <f t="array" ref="H32">IF(OR(H31=1,H31=7),"",IFERROR(INDEX($AK$15:$AN$114,MATCH(1,(H28&gt;=$AM$15:$AM$114)*($AN$15:$AN$114&gt;=H28)*($AK$15:$AK$114=$U$2),0),2),""))</f>
        <v/>
      </c>
      <c r="I32" s="28" t="str">
        <f t="array" ref="I32">IF(OR(I31=1,I31=7),"",IFERROR(INDEX($AK$15:$AN$114,MATCH(1,(I28&gt;=$AM$15:$AM$114)*($AN$15:$AN$114&gt;=I28)*($AK$15:$AK$114=$U$2),0),2),""))</f>
        <v/>
      </c>
      <c r="J32" s="28" t="str">
        <f t="array" ref="J32">IF(OR(J31=1,J31=7),"",IFERROR(INDEX($AK$15:$AN$114,MATCH(1,(J28&gt;=$AM$15:$AM$114)*($AN$15:$AN$114&gt;=J28)*($AK$15:$AK$114=$U$2),0),2),""))</f>
        <v/>
      </c>
      <c r="K32" s="28" t="str">
        <f t="array" ref="K32">IF(OR(K31=1,K31=7),"",IFERROR(INDEX($AK$15:$AN$114,MATCH(1,(K28&gt;=$AM$15:$AM$114)*($AN$15:$AN$114&gt;=K28)*($AK$15:$AK$114=$U$2),0),2),""))</f>
        <v/>
      </c>
      <c r="L32" s="28" t="str">
        <f t="array" ref="L32">IF(OR(L31=1,L31=7),"",IFERROR(INDEX($AK$15:$AN$114,MATCH(1,(L28&gt;=$AM$15:$AM$114)*($AN$15:$AN$114&gt;=L28)*($AK$15:$AK$114=$U$2),0),2),""))</f>
        <v/>
      </c>
      <c r="M32" s="28" t="str">
        <f t="array" ref="M32">IF(OR(M31=1,M31=7),"",IFERROR(INDEX($AK$15:$AN$114,MATCH(1,(M28&gt;=$AM$15:$AM$114)*($AN$15:$AN$114&gt;=M28)*($AK$15:$AK$114=$U$2),0),2),""))</f>
        <v/>
      </c>
      <c r="N32" s="28" t="str">
        <f t="array" ref="N32">IF(OR(N31=1,N31=7),"",IFERROR(INDEX($AK$15:$AN$114,MATCH(1,(N28&gt;=$AM$15:$AM$114)*($AN$15:$AN$114&gt;=N28)*($AK$15:$AK$114=$U$2),0),2),""))</f>
        <v/>
      </c>
      <c r="O32" s="28" t="str">
        <f t="array" ref="O32">IF(OR(O31=1,O31=7),"",IFERROR(INDEX($AK$15:$AN$114,MATCH(1,(O28&gt;=$AM$15:$AM$114)*($AN$15:$AN$114&gt;=O28)*($AK$15:$AK$114=$U$2),0),2),""))</f>
        <v/>
      </c>
      <c r="P32" s="28" t="str">
        <f t="array" ref="P32">IF(OR(P31=1,P31=7),"",IFERROR(INDEX($AK$15:$AN$114,MATCH(1,(P28&gt;=$AM$15:$AM$114)*($AN$15:$AN$114&gt;=P28)*($AK$15:$AK$114=$U$2),0),2),""))</f>
        <v/>
      </c>
      <c r="Q32" s="28" t="str">
        <f t="array" ref="Q32">IF(OR(Q31=1,Q31=7),"",IFERROR(INDEX($AK$15:$AN$114,MATCH(1,(Q28&gt;=$AM$15:$AM$114)*($AN$15:$AN$114&gt;=Q28)*($AK$15:$AK$114=$U$2),0),2),""))</f>
        <v/>
      </c>
      <c r="R32" s="28" t="str">
        <f t="array" ref="R32">IF(OR(R31=1,R31=7),"",IFERROR(INDEX($AK$15:$AN$114,MATCH(1,(R28&gt;=$AM$15:$AM$114)*($AN$15:$AN$114&gt;=R28)*($AK$15:$AK$114=$U$2),0),2),""))</f>
        <v/>
      </c>
      <c r="S32" s="28" t="str">
        <f t="array" ref="S32">IF(OR(S31=1,S31=7),"",IFERROR(INDEX($AK$15:$AN$114,MATCH(1,(S28&gt;=$AM$15:$AM$114)*($AN$15:$AN$114&gt;=S28)*($AK$15:$AK$114=$U$2),0),2),""))</f>
        <v/>
      </c>
      <c r="T32" s="28" t="str">
        <f t="array" ref="T32">IF(OR(T31=1,T31=7),"",IFERROR(INDEX($AK$15:$AN$114,MATCH(1,(T28&gt;=$AM$15:$AM$114)*($AN$15:$AN$114&gt;=T28)*($AK$15:$AK$114=$U$2),0),2),""))</f>
        <v/>
      </c>
      <c r="U32" s="28" t="str">
        <f t="array" ref="U32">IF(OR(U31=1,U31=7),"",IFERROR(INDEX($AK$15:$AN$114,MATCH(1,(U28&gt;=$AM$15:$AM$114)*($AN$15:$AN$114&gt;=U28)*($AK$15:$AK$114=$U$2),0),2),""))</f>
        <v/>
      </c>
      <c r="V32" s="28" t="str">
        <f t="array" ref="V32">IF(OR(V31=1,V31=7),"",IFERROR(INDEX($AK$15:$AN$114,MATCH(1,(V28&gt;=$AM$15:$AM$114)*($AN$15:$AN$114&gt;=V28)*($AK$15:$AK$114=$U$2),0),2),""))</f>
        <v/>
      </c>
      <c r="W32" s="28" t="str">
        <f t="array" ref="W32">IF(OR(W31=1,W31=7),"",IFERROR(INDEX($AK$15:$AN$114,MATCH(1,(W28&gt;=$AM$15:$AM$114)*($AN$15:$AN$114&gt;=W28)*($AK$15:$AK$114=$U$2),0),2),""))</f>
        <v/>
      </c>
      <c r="X32" s="28" t="str">
        <f t="array" ref="X32">IF(OR(X31=1,X31=7),"",IFERROR(INDEX($AK$15:$AN$114,MATCH(1,(X28&gt;=$AM$15:$AM$114)*($AN$15:$AN$114&gt;=X28)*($AK$15:$AK$114=$U$2),0),2),""))</f>
        <v/>
      </c>
      <c r="Y32" s="28" t="str">
        <f t="array" ref="Y32">IF(OR(Y31=1,Y31=7),"",IFERROR(INDEX($AK$15:$AN$114,MATCH(1,(Y28&gt;=$AM$15:$AM$114)*($AN$15:$AN$114&gt;=Y28)*($AK$15:$AK$114=$U$2),0),2),""))</f>
        <v/>
      </c>
      <c r="Z32" s="28" t="str">
        <f t="array" ref="Z32">IF(OR(Z31=1,Z31=7),"",IFERROR(INDEX($AK$15:$AN$114,MATCH(1,(Z28&gt;=$AM$15:$AM$114)*($AN$15:$AN$114&gt;=Z28)*($AK$15:$AK$114=$U$2),0),2),""))</f>
        <v/>
      </c>
      <c r="AA32" s="28" t="str">
        <f t="array" ref="AA32">IF(OR(AA31=1,AA31=7),"",IFERROR(INDEX($AK$15:$AN$114,MATCH(1,(AA28&gt;=$AM$15:$AM$114)*($AN$15:$AN$114&gt;=AA28)*($AK$15:$AK$114=$U$2),0),2),""))</f>
        <v/>
      </c>
      <c r="AB32" s="28" t="str">
        <f t="array" ref="AB32">IF(OR(AB31=1,AB31=7),"",IFERROR(INDEX($AK$15:$AN$114,MATCH(1,(AB28&gt;=$AM$15:$AM$114)*($AN$15:$AN$114&gt;=AB28)*($AK$15:$AK$114=$U$2),0),2),""))</f>
        <v/>
      </c>
      <c r="AC32" s="28" t="str">
        <f t="array" ref="AC32">IF(OR(AC31=1,AC31=7),"",IFERROR(INDEX($AK$15:$AN$114,MATCH(1,(AC28&gt;=$AM$15:$AM$114)*($AN$15:$AN$114&gt;=AC28)*($AK$15:$AK$114=$U$2),0),2),""))</f>
        <v/>
      </c>
      <c r="AD32" s="28" t="str">
        <f t="array" ref="AD32">IF(OR(AD31=1,AD31=7),"",IFERROR(INDEX($AK$15:$AN$114,MATCH(1,(AD28&gt;=$AM$15:$AM$114)*($AN$15:$AN$114&gt;=AD28)*($AK$15:$AK$114=$U$2),0),2),""))</f>
        <v/>
      </c>
      <c r="AE32" s="28" t="str">
        <f t="array" ref="AE32">IF(OR(AE31=1,AE31=7),"",IFERROR(INDEX($AK$15:$AN$114,MATCH(1,(AE28&gt;=$AM$15:$AM$114)*($AN$15:$AN$114&gt;=AE28)*($AK$15:$AK$114=$U$2),0),2),""))</f>
        <v/>
      </c>
      <c r="AF32" s="28" t="str">
        <f t="array" ref="AF32">IF(OR(AF31=1,AF31=7),"",IFERROR(INDEX($AK$15:$AN$114,MATCH(1,(AF28&gt;=$AM$15:$AM$114)*($AN$15:$AN$114&gt;=AF28)*($AK$15:$AK$114=$U$2),0),2),""))</f>
        <v/>
      </c>
      <c r="AG32" s="29" t="str">
        <f t="array" ref="AG32">IF(OR(AG31=1,AG31=7),"",IFERROR(INDEX($AK$15:$AN$114,MATCH(1,(AG28&gt;=$AM$15:$AM$114)*($AN$15:$AN$114&gt;=AG28)*($AK$15:$AK$114=$U$2),0),2),""))</f>
        <v/>
      </c>
      <c r="AH32" s="649">
        <f>COUNTIF(C32:AG32,AI32)</f>
        <v>0</v>
      </c>
      <c r="AI32" s="641" t="s">
        <v>362</v>
      </c>
      <c r="AJ32" s="13">
        <v>18</v>
      </c>
      <c r="AL32" s="23"/>
      <c r="AM32" s="31"/>
      <c r="AN32" s="31"/>
      <c r="AO32" s="635">
        <f>Absences26810[[#This Row],[debut]]</f>
        <v>0</v>
      </c>
      <c r="BZ32" s="359">
        <f t="shared" si="13"/>
        <v>44511</v>
      </c>
      <c r="CA32" s="360">
        <f>DATE(BZ4+1,11,11)</f>
        <v>44511</v>
      </c>
      <c r="CB32" s="361" t="s">
        <v>587</v>
      </c>
      <c r="CC32" s="563"/>
      <c r="CD32" s="563"/>
      <c r="CE32" s="563"/>
    </row>
    <row r="33" spans="1:83" ht="14.25" customHeight="1" x14ac:dyDescent="0.25">
      <c r="A33" s="13"/>
      <c r="B33" s="20">
        <f>DATE($C$2,MONTH(1&amp;"/"&amp;C34),1)</f>
        <v>43983</v>
      </c>
      <c r="C33" s="14">
        <f>B33</f>
        <v>43983</v>
      </c>
      <c r="D33" s="14">
        <f>IFERROR(IF(C33+1&gt;$B$34,"",C33+1),"")</f>
        <v>43984</v>
      </c>
      <c r="E33" s="14">
        <f t="shared" ref="E33:AG33" si="22">IFERROR(IF(D33+1&gt;$B$34,"",D33+1),"")</f>
        <v>43985</v>
      </c>
      <c r="F33" s="14">
        <f t="shared" si="22"/>
        <v>43986</v>
      </c>
      <c r="G33" s="14">
        <f t="shared" si="22"/>
        <v>43987</v>
      </c>
      <c r="H33" s="14">
        <f t="shared" si="22"/>
        <v>43988</v>
      </c>
      <c r="I33" s="14">
        <f t="shared" si="22"/>
        <v>43989</v>
      </c>
      <c r="J33" s="14">
        <f t="shared" si="22"/>
        <v>43990</v>
      </c>
      <c r="K33" s="14">
        <f t="shared" si="22"/>
        <v>43991</v>
      </c>
      <c r="L33" s="14">
        <f t="shared" si="22"/>
        <v>43992</v>
      </c>
      <c r="M33" s="14">
        <f t="shared" si="22"/>
        <v>43993</v>
      </c>
      <c r="N33" s="14">
        <f t="shared" si="22"/>
        <v>43994</v>
      </c>
      <c r="O33" s="14">
        <f t="shared" si="22"/>
        <v>43995</v>
      </c>
      <c r="P33" s="14">
        <f t="shared" si="22"/>
        <v>43996</v>
      </c>
      <c r="Q33" s="14">
        <f t="shared" si="22"/>
        <v>43997</v>
      </c>
      <c r="R33" s="14">
        <f t="shared" si="22"/>
        <v>43998</v>
      </c>
      <c r="S33" s="14">
        <f t="shared" si="22"/>
        <v>43999</v>
      </c>
      <c r="T33" s="14">
        <f t="shared" si="22"/>
        <v>44000</v>
      </c>
      <c r="U33" s="14">
        <f t="shared" si="22"/>
        <v>44001</v>
      </c>
      <c r="V33" s="14">
        <f t="shared" si="22"/>
        <v>44002</v>
      </c>
      <c r="W33" s="14">
        <f t="shared" si="22"/>
        <v>44003</v>
      </c>
      <c r="X33" s="14">
        <f t="shared" si="22"/>
        <v>44004</v>
      </c>
      <c r="Y33" s="14">
        <f t="shared" si="22"/>
        <v>44005</v>
      </c>
      <c r="Z33" s="14">
        <f t="shared" si="22"/>
        <v>44006</v>
      </c>
      <c r="AA33" s="14">
        <f t="shared" si="22"/>
        <v>44007</v>
      </c>
      <c r="AB33" s="14">
        <f t="shared" si="22"/>
        <v>44008</v>
      </c>
      <c r="AC33" s="14">
        <f t="shared" si="22"/>
        <v>44009</v>
      </c>
      <c r="AD33" s="14">
        <f t="shared" si="22"/>
        <v>44010</v>
      </c>
      <c r="AE33" s="14">
        <f t="shared" si="22"/>
        <v>44011</v>
      </c>
      <c r="AF33" s="14">
        <f t="shared" si="22"/>
        <v>44012</v>
      </c>
      <c r="AG33" s="14" t="str">
        <f t="shared" si="22"/>
        <v/>
      </c>
      <c r="AH33" s="647">
        <f>COUNTIF(C37:AG37,AI33)</f>
        <v>0</v>
      </c>
      <c r="AI33" s="640" t="s">
        <v>8</v>
      </c>
      <c r="AJ33" s="13">
        <v>19</v>
      </c>
      <c r="AL33" s="23"/>
      <c r="AM33" s="31"/>
      <c r="AN33" s="31"/>
      <c r="AO33" s="635">
        <f>Absences26810[[#This Row],[debut]]</f>
        <v>0</v>
      </c>
      <c r="BZ33" s="359">
        <f t="shared" si="13"/>
        <v>44555</v>
      </c>
      <c r="CA33" s="360">
        <f>DATE(BZ4+1,12,25)</f>
        <v>44555</v>
      </c>
      <c r="CB33" s="361" t="s">
        <v>723</v>
      </c>
      <c r="CC33" s="563"/>
      <c r="CD33" s="563"/>
      <c r="CE33" s="563"/>
    </row>
    <row r="34" spans="1:83" ht="18.75" x14ac:dyDescent="0.25">
      <c r="A34" s="13"/>
      <c r="B34" s="21">
        <f>EOMONTH(B33,0)</f>
        <v>44012</v>
      </c>
      <c r="C34" s="1476" t="s">
        <v>47</v>
      </c>
      <c r="D34" s="1477"/>
      <c r="E34" s="1477"/>
      <c r="F34" s="1477"/>
      <c r="G34" s="1477"/>
      <c r="H34" s="1477"/>
      <c r="I34" s="1477"/>
      <c r="J34" s="1477"/>
      <c r="K34" s="1477"/>
      <c r="L34" s="1477"/>
      <c r="M34" s="1477"/>
      <c r="N34" s="1477"/>
      <c r="O34" s="1477"/>
      <c r="P34" s="1477"/>
      <c r="Q34" s="1477"/>
      <c r="R34" s="1477"/>
      <c r="S34" s="1477"/>
      <c r="T34" s="1477"/>
      <c r="U34" s="1477"/>
      <c r="V34" s="1477"/>
      <c r="W34" s="1477"/>
      <c r="X34" s="1477"/>
      <c r="Y34" s="1477"/>
      <c r="Z34" s="1477"/>
      <c r="AA34" s="1477"/>
      <c r="AB34" s="1477"/>
      <c r="AC34" s="1477"/>
      <c r="AD34" s="1477"/>
      <c r="AE34" s="1477"/>
      <c r="AF34" s="1477"/>
      <c r="AG34" s="1478"/>
      <c r="AH34" s="648">
        <f>COUNTIF(C37:AG37,AI34)</f>
        <v>0</v>
      </c>
      <c r="AI34" s="629" t="s">
        <v>360</v>
      </c>
      <c r="AJ34" s="13">
        <v>20</v>
      </c>
      <c r="AL34" s="23"/>
      <c r="AM34" s="31"/>
      <c r="AN34" s="31"/>
      <c r="AO34" s="635">
        <f>Absences26810[[#This Row],[debut]]</f>
        <v>0</v>
      </c>
      <c r="BZ34" s="366">
        <f>CA34</f>
        <v>44562</v>
      </c>
      <c r="CA34" s="367">
        <f>DATE(BZ4+2,1,1)</f>
        <v>44562</v>
      </c>
      <c r="CB34" s="368" t="s">
        <v>721</v>
      </c>
      <c r="CC34" s="563"/>
      <c r="CD34" s="563"/>
      <c r="CE34" s="563"/>
    </row>
    <row r="35" spans="1:83" x14ac:dyDescent="0.25">
      <c r="A35" s="654"/>
      <c r="B35" s="657"/>
      <c r="C35" s="6">
        <f t="shared" ref="C35:AG35" si="23">IFERROR(DAY(C33),"")</f>
        <v>1</v>
      </c>
      <c r="D35" s="3">
        <f t="shared" si="23"/>
        <v>2</v>
      </c>
      <c r="E35" s="3">
        <f t="shared" si="23"/>
        <v>3</v>
      </c>
      <c r="F35" s="3">
        <f t="shared" si="23"/>
        <v>4</v>
      </c>
      <c r="G35" s="3">
        <f t="shared" si="23"/>
        <v>5</v>
      </c>
      <c r="H35" s="3">
        <f t="shared" si="23"/>
        <v>6</v>
      </c>
      <c r="I35" s="3">
        <f t="shared" si="23"/>
        <v>7</v>
      </c>
      <c r="J35" s="3">
        <f t="shared" si="23"/>
        <v>8</v>
      </c>
      <c r="K35" s="3">
        <f t="shared" si="23"/>
        <v>9</v>
      </c>
      <c r="L35" s="3">
        <f t="shared" si="23"/>
        <v>10</v>
      </c>
      <c r="M35" s="3">
        <f t="shared" si="23"/>
        <v>11</v>
      </c>
      <c r="N35" s="3">
        <f t="shared" si="23"/>
        <v>12</v>
      </c>
      <c r="O35" s="3">
        <f t="shared" si="23"/>
        <v>13</v>
      </c>
      <c r="P35" s="3">
        <f t="shared" si="23"/>
        <v>14</v>
      </c>
      <c r="Q35" s="3">
        <f t="shared" si="23"/>
        <v>15</v>
      </c>
      <c r="R35" s="3">
        <f t="shared" si="23"/>
        <v>16</v>
      </c>
      <c r="S35" s="3">
        <f t="shared" si="23"/>
        <v>17</v>
      </c>
      <c r="T35" s="3">
        <f t="shared" si="23"/>
        <v>18</v>
      </c>
      <c r="U35" s="3">
        <f t="shared" si="23"/>
        <v>19</v>
      </c>
      <c r="V35" s="3">
        <f t="shared" si="23"/>
        <v>20</v>
      </c>
      <c r="W35" s="3">
        <f t="shared" si="23"/>
        <v>21</v>
      </c>
      <c r="X35" s="3">
        <f t="shared" si="23"/>
        <v>22</v>
      </c>
      <c r="Y35" s="3">
        <f t="shared" si="23"/>
        <v>23</v>
      </c>
      <c r="Z35" s="3">
        <f t="shared" si="23"/>
        <v>24</v>
      </c>
      <c r="AA35" s="3">
        <f t="shared" si="23"/>
        <v>25</v>
      </c>
      <c r="AB35" s="3">
        <f t="shared" si="23"/>
        <v>26</v>
      </c>
      <c r="AC35" s="3">
        <f t="shared" si="23"/>
        <v>27</v>
      </c>
      <c r="AD35" s="3">
        <f t="shared" si="23"/>
        <v>28</v>
      </c>
      <c r="AE35" s="3">
        <f t="shared" si="23"/>
        <v>29</v>
      </c>
      <c r="AF35" s="3">
        <f t="shared" si="23"/>
        <v>30</v>
      </c>
      <c r="AG35" s="7" t="str">
        <f t="shared" si="23"/>
        <v/>
      </c>
      <c r="AH35" s="648">
        <f>COUNTIF(C37:AG37,AI35)</f>
        <v>0</v>
      </c>
      <c r="AI35" s="10" t="s">
        <v>6</v>
      </c>
      <c r="AJ35" s="13">
        <v>21</v>
      </c>
      <c r="AL35" s="23"/>
      <c r="AM35" s="31"/>
      <c r="AN35" s="31"/>
      <c r="AO35" s="635">
        <f>Absences26810[[#This Row],[debut]]</f>
        <v>0</v>
      </c>
    </row>
    <row r="36" spans="1:83" x14ac:dyDescent="0.25">
      <c r="A36" s="655" t="s">
        <v>800</v>
      </c>
      <c r="B36" s="658">
        <f>COUNTIF(C37:AG37,A36)</f>
        <v>0</v>
      </c>
      <c r="C36" s="5">
        <f t="shared" ref="C36:AC36" si="24">IF(C33="","",WEEKDAY(C33,1))</f>
        <v>2</v>
      </c>
      <c r="D36" s="8">
        <f t="shared" si="24"/>
        <v>3</v>
      </c>
      <c r="E36" s="8">
        <f t="shared" si="24"/>
        <v>4</v>
      </c>
      <c r="F36" s="8">
        <f t="shared" si="24"/>
        <v>5</v>
      </c>
      <c r="G36" s="8">
        <f t="shared" si="24"/>
        <v>6</v>
      </c>
      <c r="H36" s="8">
        <f t="shared" si="24"/>
        <v>7</v>
      </c>
      <c r="I36" s="8">
        <f t="shared" si="24"/>
        <v>1</v>
      </c>
      <c r="J36" s="8">
        <f t="shared" si="24"/>
        <v>2</v>
      </c>
      <c r="K36" s="8">
        <f t="shared" si="24"/>
        <v>3</v>
      </c>
      <c r="L36" s="8">
        <f t="shared" si="24"/>
        <v>4</v>
      </c>
      <c r="M36" s="8">
        <f t="shared" si="24"/>
        <v>5</v>
      </c>
      <c r="N36" s="8">
        <f t="shared" si="24"/>
        <v>6</v>
      </c>
      <c r="O36" s="8">
        <f t="shared" si="24"/>
        <v>7</v>
      </c>
      <c r="P36" s="8">
        <f t="shared" si="24"/>
        <v>1</v>
      </c>
      <c r="Q36" s="8">
        <f t="shared" si="24"/>
        <v>2</v>
      </c>
      <c r="R36" s="8">
        <f t="shared" si="24"/>
        <v>3</v>
      </c>
      <c r="S36" s="8">
        <f t="shared" si="24"/>
        <v>4</v>
      </c>
      <c r="T36" s="8">
        <f t="shared" si="24"/>
        <v>5</v>
      </c>
      <c r="U36" s="8">
        <f t="shared" si="24"/>
        <v>6</v>
      </c>
      <c r="V36" s="8">
        <f t="shared" si="24"/>
        <v>7</v>
      </c>
      <c r="W36" s="8">
        <f t="shared" si="24"/>
        <v>1</v>
      </c>
      <c r="X36" s="8">
        <f t="shared" si="24"/>
        <v>2</v>
      </c>
      <c r="Y36" s="8">
        <f t="shared" si="24"/>
        <v>3</v>
      </c>
      <c r="Z36" s="8">
        <f t="shared" si="24"/>
        <v>4</v>
      </c>
      <c r="AA36" s="8">
        <f t="shared" si="24"/>
        <v>5</v>
      </c>
      <c r="AB36" s="8">
        <f t="shared" si="24"/>
        <v>6</v>
      </c>
      <c r="AC36" s="8">
        <f t="shared" si="24"/>
        <v>7</v>
      </c>
      <c r="AD36" s="8">
        <f>IF(AD33="","",WEEKDAY(AD33,1))</f>
        <v>1</v>
      </c>
      <c r="AE36" s="8">
        <f>IF(AE33="","",WEEKDAY(AE33,1))</f>
        <v>2</v>
      </c>
      <c r="AF36" s="8">
        <f t="shared" ref="AF36:AG36" si="25">IF(AF33="","",WEEKDAY(AF33,1))</f>
        <v>3</v>
      </c>
      <c r="AG36" s="9" t="str">
        <f t="shared" si="25"/>
        <v/>
      </c>
      <c r="AH36" s="648">
        <f>COUNTIF(C37:AG37,AI36)</f>
        <v>0</v>
      </c>
      <c r="AI36" s="633" t="s">
        <v>799</v>
      </c>
      <c r="AJ36" s="13">
        <v>22</v>
      </c>
      <c r="AL36" s="23"/>
      <c r="AM36" s="31"/>
      <c r="AN36" s="31"/>
      <c r="AO36" s="635">
        <f>Absences26810[[#This Row],[debut]]</f>
        <v>0</v>
      </c>
    </row>
    <row r="37" spans="1:83" ht="16.5" thickBot="1" x14ac:dyDescent="0.3">
      <c r="A37" s="656" t="s">
        <v>7</v>
      </c>
      <c r="B37" s="659">
        <f>COUNTIF(C37:AG37,A37)</f>
        <v>0</v>
      </c>
      <c r="C37" s="27" t="str">
        <f t="array" ref="C37">IF(OR(C36=1,C36=7),"",IFERROR(INDEX($AK$15:$AN$114,MATCH(1,(C33&gt;=$AM$15:$AM$114)*($AN$15:$AN$114&gt;=C33)*($AK$15:$AK$114=$U$2),0),2),""))</f>
        <v/>
      </c>
      <c r="D37" s="28" t="str">
        <f t="array" ref="D37">IF(OR(D36=1,D36=7),"",IFERROR(INDEX($AK$15:$AN$114,MATCH(1,(D33&gt;=$AM$15:$AM$114)*($AN$15:$AN$114&gt;=D33)*($AK$15:$AK$114=$U$2),0),2),""))</f>
        <v/>
      </c>
      <c r="E37" s="28" t="str">
        <f t="array" ref="E37">IF(OR(E36=1,E36=7),"",IFERROR(INDEX($AK$15:$AN$114,MATCH(1,(E33&gt;=$AM$15:$AM$114)*($AN$15:$AN$114&gt;=E33)*($AK$15:$AK$114=$U$2),0),2),""))</f>
        <v/>
      </c>
      <c r="F37" s="28" t="str">
        <f t="array" ref="F37">IF(OR(F36=1,F36=7),"",IFERROR(INDEX($AK$15:$AN$114,MATCH(1,(F33&gt;=$AM$15:$AM$114)*($AN$15:$AN$114&gt;=F33)*($AK$15:$AK$114=$U$2),0),2),""))</f>
        <v/>
      </c>
      <c r="G37" s="28" t="str">
        <f t="array" ref="G37">IF(OR(G36=1,G36=7),"",IFERROR(INDEX($AK$15:$AN$114,MATCH(1,(G33&gt;=$AM$15:$AM$114)*($AN$15:$AN$114&gt;=G33)*($AK$15:$AK$114=$U$2),0),2),""))</f>
        <v/>
      </c>
      <c r="H37" s="28" t="str">
        <f t="array" ref="H37">IF(OR(H36=1,H36=7),"",IFERROR(INDEX($AK$15:$AN$114,MATCH(1,(H33&gt;=$AM$15:$AM$114)*($AN$15:$AN$114&gt;=H33)*($AK$15:$AK$114=$U$2),0),2),""))</f>
        <v/>
      </c>
      <c r="I37" s="28" t="str">
        <f t="array" ref="I37">IF(OR(I36=1,I36=7),"",IFERROR(INDEX($AK$15:$AN$114,MATCH(1,(I33&gt;=$AM$15:$AM$114)*($AN$15:$AN$114&gt;=I33)*($AK$15:$AK$114=$U$2),0),2),""))</f>
        <v/>
      </c>
      <c r="J37" s="28" t="str">
        <f t="array" ref="J37">IF(OR(J36=1,J36=7),"",IFERROR(INDEX($AK$15:$AN$114,MATCH(1,(J33&gt;=$AM$15:$AM$114)*($AN$15:$AN$114&gt;=J33)*($AK$15:$AK$114=$U$2),0),2),""))</f>
        <v/>
      </c>
      <c r="K37" s="28" t="str">
        <f t="array" ref="K37">IF(OR(K36=1,K36=7),"",IFERROR(INDEX($AK$15:$AN$114,MATCH(1,(K33&gt;=$AM$15:$AM$114)*($AN$15:$AN$114&gt;=K33)*($AK$15:$AK$114=$U$2),0),2),""))</f>
        <v/>
      </c>
      <c r="L37" s="28" t="str">
        <f t="array" ref="L37">IF(OR(L36=1,L36=7),"",IFERROR(INDEX($AK$15:$AN$114,MATCH(1,(L33&gt;=$AM$15:$AM$114)*($AN$15:$AN$114&gt;=L33)*($AK$15:$AK$114=$U$2),0),2),""))</f>
        <v/>
      </c>
      <c r="M37" s="28" t="str">
        <f t="array" ref="M37">IF(OR(M36=1,M36=7),"",IFERROR(INDEX($AK$15:$AN$114,MATCH(1,(M33&gt;=$AM$15:$AM$114)*($AN$15:$AN$114&gt;=M33)*($AK$15:$AK$114=$U$2),0),2),""))</f>
        <v/>
      </c>
      <c r="N37" s="28" t="str">
        <f t="array" ref="N37">IF(OR(N36=1,N36=7),"",IFERROR(INDEX($AK$15:$AN$114,MATCH(1,(N33&gt;=$AM$15:$AM$114)*($AN$15:$AN$114&gt;=N33)*($AK$15:$AK$114=$U$2),0),2),""))</f>
        <v/>
      </c>
      <c r="O37" s="28" t="str">
        <f t="array" ref="O37">IF(OR(O36=1,O36=7),"",IFERROR(INDEX($AK$15:$AN$114,MATCH(1,(O33&gt;=$AM$15:$AM$114)*($AN$15:$AN$114&gt;=O33)*($AK$15:$AK$114=$U$2),0),2),""))</f>
        <v/>
      </c>
      <c r="P37" s="28" t="str">
        <f t="array" ref="P37">IF(OR(P36=1,P36=7),"",IFERROR(INDEX($AK$15:$AN$114,MATCH(1,(P33&gt;=$AM$15:$AM$114)*($AN$15:$AN$114&gt;=P33)*($AK$15:$AK$114=$U$2),0),2),""))</f>
        <v/>
      </c>
      <c r="Q37" s="28" t="str">
        <f t="array" ref="Q37">IF(OR(Q36=1,Q36=7),"",IFERROR(INDEX($AK$15:$AN$114,MATCH(1,(Q33&gt;=$AM$15:$AM$114)*($AN$15:$AN$114&gt;=Q33)*($AK$15:$AK$114=$U$2),0),2),""))</f>
        <v/>
      </c>
      <c r="R37" s="28" t="str">
        <f t="array" ref="R37">IF(OR(R36=1,R36=7),"",IFERROR(INDEX($AK$15:$AN$114,MATCH(1,(R33&gt;=$AM$15:$AM$114)*($AN$15:$AN$114&gt;=R33)*($AK$15:$AK$114=$U$2),0),2),""))</f>
        <v/>
      </c>
      <c r="S37" s="28" t="str">
        <f t="array" ref="S37">IF(OR(S36=1,S36=7),"",IFERROR(INDEX($AK$15:$AN$114,MATCH(1,(S33&gt;=$AM$15:$AM$114)*($AN$15:$AN$114&gt;=S33)*($AK$15:$AK$114=$U$2),0),2),""))</f>
        <v/>
      </c>
      <c r="T37" s="28" t="str">
        <f t="array" ref="T37">IF(OR(T36=1,T36=7),"",IFERROR(INDEX($AK$15:$AN$114,MATCH(1,(T33&gt;=$AM$15:$AM$114)*($AN$15:$AN$114&gt;=T33)*($AK$15:$AK$114=$U$2),0),2),""))</f>
        <v/>
      </c>
      <c r="U37" s="28" t="str">
        <f t="array" ref="U37">IF(OR(U36=1,U36=7),"",IFERROR(INDEX($AK$15:$AN$114,MATCH(1,(U33&gt;=$AM$15:$AM$114)*($AN$15:$AN$114&gt;=U33)*($AK$15:$AK$114=$U$2),0),2),""))</f>
        <v/>
      </c>
      <c r="V37" s="28" t="str">
        <f t="array" ref="V37">IF(OR(V36=1,V36=7),"",IFERROR(INDEX($AK$15:$AN$114,MATCH(1,(V33&gt;=$AM$15:$AM$114)*($AN$15:$AN$114&gt;=V33)*($AK$15:$AK$114=$U$2),0),2),""))</f>
        <v/>
      </c>
      <c r="W37" s="28" t="str">
        <f t="array" ref="W37">IF(OR(W36=1,W36=7),"",IFERROR(INDEX($AK$15:$AN$114,MATCH(1,(W33&gt;=$AM$15:$AM$114)*($AN$15:$AN$114&gt;=W33)*($AK$15:$AK$114=$U$2),0),2),""))</f>
        <v/>
      </c>
      <c r="X37" s="28" t="str">
        <f t="array" ref="X37">IF(OR(X36=1,X36=7),"",IFERROR(INDEX($AK$15:$AN$114,MATCH(1,(X33&gt;=$AM$15:$AM$114)*($AN$15:$AN$114&gt;=X33)*($AK$15:$AK$114=$U$2),0),2),""))</f>
        <v/>
      </c>
      <c r="Y37" s="28" t="str">
        <f t="array" ref="Y37">IF(OR(Y36=1,Y36=7),"",IFERROR(INDEX($AK$15:$AN$114,MATCH(1,(Y33&gt;=$AM$15:$AM$114)*($AN$15:$AN$114&gt;=Y33)*($AK$15:$AK$114=$U$2),0),2),""))</f>
        <v/>
      </c>
      <c r="Z37" s="28" t="str">
        <f t="array" ref="Z37">IF(OR(Z36=1,Z36=7),"",IFERROR(INDEX($AK$15:$AN$114,MATCH(1,(Z33&gt;=$AM$15:$AM$114)*($AN$15:$AN$114&gt;=Z33)*($AK$15:$AK$114=$U$2),0),2),""))</f>
        <v/>
      </c>
      <c r="AA37" s="28" t="str">
        <f t="array" ref="AA37">IF(OR(AA36=1,AA36=7),"",IFERROR(INDEX($AK$15:$AN$114,MATCH(1,(AA33&gt;=$AM$15:$AM$114)*($AN$15:$AN$114&gt;=AA33)*($AK$15:$AK$114=$U$2),0),2),""))</f>
        <v/>
      </c>
      <c r="AB37" s="28" t="str">
        <f t="array" ref="AB37">IF(OR(AB36=1,AB36=7),"",IFERROR(INDEX($AK$15:$AN$114,MATCH(1,(AB33&gt;=$AM$15:$AM$114)*($AN$15:$AN$114&gt;=AB33)*($AK$15:$AK$114=$U$2),0),2),""))</f>
        <v/>
      </c>
      <c r="AC37" s="28" t="str">
        <f t="array" ref="AC37">IF(OR(AC36=1,AC36=7),"",IFERROR(INDEX($AK$15:$AN$114,MATCH(1,(AC33&gt;=$AM$15:$AM$114)*($AN$15:$AN$114&gt;=AC33)*($AK$15:$AK$114=$U$2),0),2),""))</f>
        <v/>
      </c>
      <c r="AD37" s="28" t="str">
        <f t="array" ref="AD37">IF(OR(AD36=1,AD36=7),"",IFERROR(INDEX($AK$15:$AN$114,MATCH(1,(AD33&gt;=$AM$15:$AM$114)*($AN$15:$AN$114&gt;=AD33)*($AK$15:$AK$114=$U$2),0),2),""))</f>
        <v/>
      </c>
      <c r="AE37" s="28" t="str">
        <f t="array" ref="AE37">IF(OR(AE36=1,AE36=7),"",IFERROR(INDEX($AK$15:$AN$114,MATCH(1,(AE33&gt;=$AM$15:$AM$114)*($AN$15:$AN$114&gt;=AE33)*($AK$15:$AK$114=$U$2),0),2),""))</f>
        <v/>
      </c>
      <c r="AF37" s="28" t="str">
        <f t="array" ref="AF37">IF(OR(AF36=1,AF36=7),"",IFERROR(INDEX($AK$15:$AN$114,MATCH(1,(AF33&gt;=$AM$15:$AM$114)*($AN$15:$AN$114&gt;=AF33)*($AK$15:$AK$114=$U$2),0),2),""))</f>
        <v/>
      </c>
      <c r="AG37" s="29" t="str">
        <f t="array" ref="AG37">IF(OR(AG36=1,AG36=7),"",IFERROR(INDEX($AK$15:$AN$114,MATCH(1,(AG33&gt;=$AM$15:$AM$114)*($AN$15:$AN$114&gt;=AG33)*($AK$15:$AK$114=$U$2),0),2),""))</f>
        <v/>
      </c>
      <c r="AH37" s="649">
        <f>COUNTIF(C37:AG37,AI37)</f>
        <v>0</v>
      </c>
      <c r="AI37" s="641" t="s">
        <v>362</v>
      </c>
      <c r="AJ37" s="13">
        <v>23</v>
      </c>
      <c r="AL37" s="23"/>
      <c r="AM37" s="31"/>
      <c r="AN37" s="31"/>
      <c r="AO37" s="635">
        <f>Absences26810[[#This Row],[debut]]</f>
        <v>0</v>
      </c>
    </row>
    <row r="38" spans="1:83" ht="14.25" customHeight="1" x14ac:dyDescent="0.25">
      <c r="A38" s="13"/>
      <c r="B38" s="20">
        <f>DATE($C$2,MONTH(1&amp;"/"&amp;C39),1)</f>
        <v>44013</v>
      </c>
      <c r="C38" s="14">
        <f>B38</f>
        <v>44013</v>
      </c>
      <c r="D38" s="14">
        <f>IFERROR(IF(C38+1&gt;$B$39,"",C38+1),"")</f>
        <v>44014</v>
      </c>
      <c r="E38" s="14">
        <f t="shared" ref="E38:AG38" si="26">IFERROR(IF(D38+1&gt;$B$39,"",D38+1),"")</f>
        <v>44015</v>
      </c>
      <c r="F38" s="14">
        <f t="shared" si="26"/>
        <v>44016</v>
      </c>
      <c r="G38" s="14">
        <f t="shared" si="26"/>
        <v>44017</v>
      </c>
      <c r="H38" s="14">
        <f t="shared" si="26"/>
        <v>44018</v>
      </c>
      <c r="I38" s="14">
        <f t="shared" si="26"/>
        <v>44019</v>
      </c>
      <c r="J38" s="14">
        <f t="shared" si="26"/>
        <v>44020</v>
      </c>
      <c r="K38" s="14">
        <f t="shared" si="26"/>
        <v>44021</v>
      </c>
      <c r="L38" s="14">
        <f t="shared" si="26"/>
        <v>44022</v>
      </c>
      <c r="M38" s="14">
        <f t="shared" si="26"/>
        <v>44023</v>
      </c>
      <c r="N38" s="14">
        <f t="shared" si="26"/>
        <v>44024</v>
      </c>
      <c r="O38" s="14">
        <f t="shared" si="26"/>
        <v>44025</v>
      </c>
      <c r="P38" s="14">
        <f t="shared" si="26"/>
        <v>44026</v>
      </c>
      <c r="Q38" s="14">
        <f t="shared" si="26"/>
        <v>44027</v>
      </c>
      <c r="R38" s="14">
        <f t="shared" si="26"/>
        <v>44028</v>
      </c>
      <c r="S38" s="14">
        <f t="shared" si="26"/>
        <v>44029</v>
      </c>
      <c r="T38" s="14">
        <f t="shared" si="26"/>
        <v>44030</v>
      </c>
      <c r="U38" s="14">
        <f t="shared" si="26"/>
        <v>44031</v>
      </c>
      <c r="V38" s="14">
        <f t="shared" si="26"/>
        <v>44032</v>
      </c>
      <c r="W38" s="14">
        <f t="shared" si="26"/>
        <v>44033</v>
      </c>
      <c r="X38" s="14">
        <f t="shared" si="26"/>
        <v>44034</v>
      </c>
      <c r="Y38" s="14">
        <f t="shared" si="26"/>
        <v>44035</v>
      </c>
      <c r="Z38" s="14">
        <f t="shared" si="26"/>
        <v>44036</v>
      </c>
      <c r="AA38" s="14">
        <f t="shared" si="26"/>
        <v>44037</v>
      </c>
      <c r="AB38" s="14">
        <f t="shared" si="26"/>
        <v>44038</v>
      </c>
      <c r="AC38" s="14">
        <f t="shared" si="26"/>
        <v>44039</v>
      </c>
      <c r="AD38" s="14">
        <f t="shared" si="26"/>
        <v>44040</v>
      </c>
      <c r="AE38" s="14">
        <f t="shared" si="26"/>
        <v>44041</v>
      </c>
      <c r="AF38" s="14">
        <f t="shared" si="26"/>
        <v>44042</v>
      </c>
      <c r="AG38" s="14">
        <f t="shared" si="26"/>
        <v>44043</v>
      </c>
      <c r="AH38" s="647">
        <f>COUNTIF(C42:AG42,AI38)</f>
        <v>0</v>
      </c>
      <c r="AI38" s="640" t="s">
        <v>8</v>
      </c>
      <c r="AJ38" s="13">
        <v>24</v>
      </c>
      <c r="AL38" s="23"/>
      <c r="AM38" s="31"/>
      <c r="AN38" s="31"/>
      <c r="AO38" s="635">
        <f>Absences26810[[#This Row],[debut]]</f>
        <v>0</v>
      </c>
    </row>
    <row r="39" spans="1:83" ht="18.75" x14ac:dyDescent="0.25">
      <c r="A39" s="13"/>
      <c r="B39" s="21">
        <f>EOMONTH(B38,0)</f>
        <v>44043</v>
      </c>
      <c r="C39" s="1476" t="s">
        <v>43</v>
      </c>
      <c r="D39" s="1477"/>
      <c r="E39" s="1477"/>
      <c r="F39" s="1477"/>
      <c r="G39" s="1477"/>
      <c r="H39" s="1477"/>
      <c r="I39" s="1477"/>
      <c r="J39" s="1477"/>
      <c r="K39" s="1477"/>
      <c r="L39" s="1477"/>
      <c r="M39" s="1477"/>
      <c r="N39" s="1477"/>
      <c r="O39" s="1477"/>
      <c r="P39" s="1477"/>
      <c r="Q39" s="1477"/>
      <c r="R39" s="1477"/>
      <c r="S39" s="1477"/>
      <c r="T39" s="1477"/>
      <c r="U39" s="1477"/>
      <c r="V39" s="1477"/>
      <c r="W39" s="1477"/>
      <c r="X39" s="1477"/>
      <c r="Y39" s="1477"/>
      <c r="Z39" s="1477"/>
      <c r="AA39" s="1477"/>
      <c r="AB39" s="1477"/>
      <c r="AC39" s="1477"/>
      <c r="AD39" s="1477"/>
      <c r="AE39" s="1477"/>
      <c r="AF39" s="1477"/>
      <c r="AG39" s="1478"/>
      <c r="AH39" s="648">
        <f>COUNTIF(C42:AG42,AI39)</f>
        <v>0</v>
      </c>
      <c r="AI39" s="629" t="s">
        <v>360</v>
      </c>
      <c r="AJ39" s="13">
        <v>25</v>
      </c>
      <c r="AL39" s="23"/>
      <c r="AM39" s="31"/>
      <c r="AN39" s="31"/>
      <c r="AO39" s="635">
        <f>Absences26810[[#This Row],[debut]]</f>
        <v>0</v>
      </c>
    </row>
    <row r="40" spans="1:83" x14ac:dyDescent="0.25">
      <c r="A40" s="654"/>
      <c r="B40" s="657"/>
      <c r="C40" s="6">
        <f t="shared" ref="C40:AG40" si="27">IFERROR(DAY(C38),"")</f>
        <v>1</v>
      </c>
      <c r="D40" s="3">
        <f t="shared" si="27"/>
        <v>2</v>
      </c>
      <c r="E40" s="3">
        <f t="shared" si="27"/>
        <v>3</v>
      </c>
      <c r="F40" s="3">
        <f t="shared" si="27"/>
        <v>4</v>
      </c>
      <c r="G40" s="3">
        <f t="shared" si="27"/>
        <v>5</v>
      </c>
      <c r="H40" s="3">
        <f t="shared" si="27"/>
        <v>6</v>
      </c>
      <c r="I40" s="3">
        <f t="shared" si="27"/>
        <v>7</v>
      </c>
      <c r="J40" s="3">
        <f t="shared" si="27"/>
        <v>8</v>
      </c>
      <c r="K40" s="3">
        <f t="shared" si="27"/>
        <v>9</v>
      </c>
      <c r="L40" s="3">
        <f t="shared" si="27"/>
        <v>10</v>
      </c>
      <c r="M40" s="3">
        <f t="shared" si="27"/>
        <v>11</v>
      </c>
      <c r="N40" s="3">
        <f t="shared" si="27"/>
        <v>12</v>
      </c>
      <c r="O40" s="3">
        <f t="shared" si="27"/>
        <v>13</v>
      </c>
      <c r="P40" s="3">
        <f t="shared" si="27"/>
        <v>14</v>
      </c>
      <c r="Q40" s="3">
        <f t="shared" si="27"/>
        <v>15</v>
      </c>
      <c r="R40" s="3">
        <f t="shared" si="27"/>
        <v>16</v>
      </c>
      <c r="S40" s="3">
        <f t="shared" si="27"/>
        <v>17</v>
      </c>
      <c r="T40" s="3">
        <f t="shared" si="27"/>
        <v>18</v>
      </c>
      <c r="U40" s="3">
        <f t="shared" si="27"/>
        <v>19</v>
      </c>
      <c r="V40" s="3">
        <f t="shared" si="27"/>
        <v>20</v>
      </c>
      <c r="W40" s="3">
        <f t="shared" si="27"/>
        <v>21</v>
      </c>
      <c r="X40" s="3">
        <f t="shared" si="27"/>
        <v>22</v>
      </c>
      <c r="Y40" s="3">
        <f t="shared" si="27"/>
        <v>23</v>
      </c>
      <c r="Z40" s="3">
        <f t="shared" si="27"/>
        <v>24</v>
      </c>
      <c r="AA40" s="3">
        <f t="shared" si="27"/>
        <v>25</v>
      </c>
      <c r="AB40" s="3">
        <f t="shared" si="27"/>
        <v>26</v>
      </c>
      <c r="AC40" s="3">
        <f t="shared" si="27"/>
        <v>27</v>
      </c>
      <c r="AD40" s="3">
        <f t="shared" si="27"/>
        <v>28</v>
      </c>
      <c r="AE40" s="3">
        <f t="shared" si="27"/>
        <v>29</v>
      </c>
      <c r="AF40" s="3">
        <f t="shared" si="27"/>
        <v>30</v>
      </c>
      <c r="AG40" s="7">
        <f t="shared" si="27"/>
        <v>31</v>
      </c>
      <c r="AH40" s="648">
        <f>COUNTIF(C42:AG42,AI40)</f>
        <v>0</v>
      </c>
      <c r="AI40" s="10" t="s">
        <v>6</v>
      </c>
      <c r="AJ40" s="13">
        <v>26</v>
      </c>
      <c r="AL40" s="23"/>
      <c r="AM40" s="31"/>
      <c r="AN40" s="31"/>
      <c r="AO40" s="635">
        <f>Absences26810[[#This Row],[debut]]</f>
        <v>0</v>
      </c>
    </row>
    <row r="41" spans="1:83" x14ac:dyDescent="0.25">
      <c r="A41" s="655" t="s">
        <v>800</v>
      </c>
      <c r="B41" s="658">
        <f>COUNTIF(C42:AG42,A41)</f>
        <v>0</v>
      </c>
      <c r="C41" s="5">
        <f t="shared" ref="C41:AC41" si="28">IF(C38="","",WEEKDAY(C38,1))</f>
        <v>4</v>
      </c>
      <c r="D41" s="8">
        <f t="shared" si="28"/>
        <v>5</v>
      </c>
      <c r="E41" s="8">
        <f t="shared" si="28"/>
        <v>6</v>
      </c>
      <c r="F41" s="8">
        <f t="shared" si="28"/>
        <v>7</v>
      </c>
      <c r="G41" s="8">
        <f t="shared" si="28"/>
        <v>1</v>
      </c>
      <c r="H41" s="8">
        <f t="shared" si="28"/>
        <v>2</v>
      </c>
      <c r="I41" s="8">
        <f t="shared" si="28"/>
        <v>3</v>
      </c>
      <c r="J41" s="8">
        <f t="shared" si="28"/>
        <v>4</v>
      </c>
      <c r="K41" s="8">
        <f t="shared" si="28"/>
        <v>5</v>
      </c>
      <c r="L41" s="8">
        <f t="shared" si="28"/>
        <v>6</v>
      </c>
      <c r="M41" s="8">
        <f t="shared" si="28"/>
        <v>7</v>
      </c>
      <c r="N41" s="8">
        <f t="shared" si="28"/>
        <v>1</v>
      </c>
      <c r="O41" s="8">
        <f t="shared" si="28"/>
        <v>2</v>
      </c>
      <c r="P41" s="8">
        <f t="shared" si="28"/>
        <v>3</v>
      </c>
      <c r="Q41" s="8">
        <f t="shared" si="28"/>
        <v>4</v>
      </c>
      <c r="R41" s="8">
        <f t="shared" si="28"/>
        <v>5</v>
      </c>
      <c r="S41" s="8">
        <f t="shared" si="28"/>
        <v>6</v>
      </c>
      <c r="T41" s="8">
        <f t="shared" si="28"/>
        <v>7</v>
      </c>
      <c r="U41" s="8">
        <f t="shared" si="28"/>
        <v>1</v>
      </c>
      <c r="V41" s="8">
        <f t="shared" si="28"/>
        <v>2</v>
      </c>
      <c r="W41" s="8">
        <f t="shared" si="28"/>
        <v>3</v>
      </c>
      <c r="X41" s="8">
        <f t="shared" si="28"/>
        <v>4</v>
      </c>
      <c r="Y41" s="8">
        <f t="shared" si="28"/>
        <v>5</v>
      </c>
      <c r="Z41" s="8">
        <f t="shared" si="28"/>
        <v>6</v>
      </c>
      <c r="AA41" s="8">
        <f t="shared" si="28"/>
        <v>7</v>
      </c>
      <c r="AB41" s="8">
        <f t="shared" si="28"/>
        <v>1</v>
      </c>
      <c r="AC41" s="8">
        <f t="shared" si="28"/>
        <v>2</v>
      </c>
      <c r="AD41" s="8">
        <f>IF(AD38="","",WEEKDAY(AD38,1))</f>
        <v>3</v>
      </c>
      <c r="AE41" s="8">
        <f>IF(AE38="","",WEEKDAY(AE38,1))</f>
        <v>4</v>
      </c>
      <c r="AF41" s="8">
        <f t="shared" ref="AF41:AG41" si="29">IF(AF38="","",WEEKDAY(AF38,1))</f>
        <v>5</v>
      </c>
      <c r="AG41" s="9">
        <f t="shared" si="29"/>
        <v>6</v>
      </c>
      <c r="AH41" s="648">
        <f>COUNTIF(C42:AG42,AI41)</f>
        <v>0</v>
      </c>
      <c r="AI41" s="633" t="s">
        <v>799</v>
      </c>
      <c r="AJ41" s="13">
        <v>27</v>
      </c>
      <c r="AL41" s="23"/>
      <c r="AM41" s="31"/>
      <c r="AN41" s="31"/>
      <c r="AO41" s="635">
        <f>Absences26810[[#This Row],[debut]]</f>
        <v>0</v>
      </c>
    </row>
    <row r="42" spans="1:83" ht="16.5" thickBot="1" x14ac:dyDescent="0.3">
      <c r="A42" s="656" t="s">
        <v>7</v>
      </c>
      <c r="B42" s="659">
        <f>COUNTIF(C42:AG42,A42)</f>
        <v>0</v>
      </c>
      <c r="C42" s="24" t="str">
        <f t="array" ref="C42">IF(OR(C41=1,C41=7),"",IFERROR(INDEX($AK$15:$AN$114,MATCH(1,(C38&gt;=$AM$15:$AM$114)*($AN$15:$AN$114&gt;=C38)*($AK$15:$AK$114=$U$2),0),2),""))</f>
        <v/>
      </c>
      <c r="D42" s="25" t="str">
        <f t="array" ref="D42">IF(OR(D41=1,D41=7),"",IFERROR(INDEX($AK$15:$AN$114,MATCH(1,(D38&gt;=$AM$15:$AM$114)*($AN$15:$AN$114&gt;=D38)*($AK$15:$AK$114=$U$2),0),2),""))</f>
        <v/>
      </c>
      <c r="E42" s="25" t="str">
        <f t="array" ref="E42">IF(OR(E41=1,E41=7),"",IFERROR(INDEX($AK$15:$AN$114,MATCH(1,(E38&gt;=$AM$15:$AM$114)*($AN$15:$AN$114&gt;=E38)*($AK$15:$AK$114=$U$2),0),2),""))</f>
        <v/>
      </c>
      <c r="F42" s="25" t="str">
        <f t="array" ref="F42">IF(OR(F41=1,F41=7),"",IFERROR(INDEX($AK$15:$AN$114,MATCH(1,(F38&gt;=$AM$15:$AM$114)*($AN$15:$AN$114&gt;=F38)*($AK$15:$AK$114=$U$2),0),2),""))</f>
        <v/>
      </c>
      <c r="G42" s="25" t="str">
        <f t="array" ref="G42">IF(OR(G41=1,G41=7),"",IFERROR(INDEX($AK$15:$AN$114,MATCH(1,(G38&gt;=$AM$15:$AM$114)*($AN$15:$AN$114&gt;=G38)*($AK$15:$AK$114=$U$2),0),2),""))</f>
        <v/>
      </c>
      <c r="H42" s="25" t="str">
        <f t="array" ref="H42">IF(OR(H41=1,H41=7),"",IFERROR(INDEX($AK$15:$AN$114,MATCH(1,(H38&gt;=$AM$15:$AM$114)*($AN$15:$AN$114&gt;=H38)*($AK$15:$AK$114=$U$2),0),2),""))</f>
        <v/>
      </c>
      <c r="I42" s="25" t="str">
        <f t="array" ref="I42">IF(OR(I41=1,I41=7),"",IFERROR(INDEX($AK$15:$AN$114,MATCH(1,(I38&gt;=$AM$15:$AM$114)*($AN$15:$AN$114&gt;=I38)*($AK$15:$AK$114=$U$2),0),2),""))</f>
        <v/>
      </c>
      <c r="J42" s="25" t="str">
        <f t="array" ref="J42">IF(OR(J41=1,J41=7),"",IFERROR(INDEX($AK$15:$AN$114,MATCH(1,(J38&gt;=$AM$15:$AM$114)*($AN$15:$AN$114&gt;=J38)*($AK$15:$AK$114=$U$2),0),2),""))</f>
        <v/>
      </c>
      <c r="K42" s="25" t="str">
        <f t="array" ref="K42">IF(OR(K41=1,K41=7),"",IFERROR(INDEX($AK$15:$AN$114,MATCH(1,(K38&gt;=$AM$15:$AM$114)*($AN$15:$AN$114&gt;=K38)*($AK$15:$AK$114=$U$2),0),2),""))</f>
        <v/>
      </c>
      <c r="L42" s="25" t="str">
        <f t="array" ref="L42">IF(OR(L41=1,L41=7),"",IFERROR(INDEX($AK$15:$AN$114,MATCH(1,(L38&gt;=$AM$15:$AM$114)*($AN$15:$AN$114&gt;=L38)*($AK$15:$AK$114=$U$2),0),2),""))</f>
        <v/>
      </c>
      <c r="M42" s="25" t="str">
        <f t="array" ref="M42">IF(OR(M41=1,M41=7),"",IFERROR(INDEX($AK$15:$AN$114,MATCH(1,(M38&gt;=$AM$15:$AM$114)*($AN$15:$AN$114&gt;=M38)*($AK$15:$AK$114=$U$2),0),2),""))</f>
        <v/>
      </c>
      <c r="N42" s="25" t="str">
        <f t="array" ref="N42">IF(OR(N41=1,N41=7),"",IFERROR(INDEX($AK$15:$AN$114,MATCH(1,(N38&gt;=$AM$15:$AM$114)*($AN$15:$AN$114&gt;=N38)*($AK$15:$AK$114=$U$2),0),2),""))</f>
        <v/>
      </c>
      <c r="O42" s="25" t="str">
        <f t="array" ref="O42">IF(OR(O41=1,O41=7),"",IFERROR(INDEX($AK$15:$AN$114,MATCH(1,(O38&gt;=$AM$15:$AM$114)*($AN$15:$AN$114&gt;=O38)*($AK$15:$AK$114=$U$2),0),2),""))</f>
        <v/>
      </c>
      <c r="P42" s="25" t="str">
        <f t="array" ref="P42">IF(OR(P41=1,P41=7),"",IFERROR(INDEX($AK$15:$AN$114,MATCH(1,(P38&gt;=$AM$15:$AM$114)*($AN$15:$AN$114&gt;=P38)*($AK$15:$AK$114=$U$2),0),2),""))</f>
        <v/>
      </c>
      <c r="Q42" s="25" t="str">
        <f t="array" ref="Q42">IF(OR(Q41=1,Q41=7),"",IFERROR(INDEX($AK$15:$AN$114,MATCH(1,(Q38&gt;=$AM$15:$AM$114)*($AN$15:$AN$114&gt;=Q38)*($AK$15:$AK$114=$U$2),0),2),""))</f>
        <v/>
      </c>
      <c r="R42" s="25" t="str">
        <f t="array" ref="R42">IF(OR(R41=1,R41=7),"",IFERROR(INDEX($AK$15:$AN$114,MATCH(1,(R38&gt;=$AM$15:$AM$114)*($AN$15:$AN$114&gt;=R38)*($AK$15:$AK$114=$U$2),0),2),""))</f>
        <v/>
      </c>
      <c r="S42" s="25" t="str">
        <f t="array" ref="S42">IF(OR(S41=1,S41=7),"",IFERROR(INDEX($AK$15:$AN$114,MATCH(1,(S38&gt;=$AM$15:$AM$114)*($AN$15:$AN$114&gt;=S38)*($AK$15:$AK$114=$U$2),0),2),""))</f>
        <v/>
      </c>
      <c r="T42" s="25" t="str">
        <f t="array" ref="T42">IF(OR(T41=1,T41=7),"",IFERROR(INDEX($AK$15:$AN$114,MATCH(1,(T38&gt;=$AM$15:$AM$114)*($AN$15:$AN$114&gt;=T38)*($AK$15:$AK$114=$U$2),0),2),""))</f>
        <v/>
      </c>
      <c r="U42" s="25" t="str">
        <f t="array" ref="U42">IF(OR(U41=1,U41=7),"",IFERROR(INDEX($AK$15:$AN$114,MATCH(1,(U38&gt;=$AM$15:$AM$114)*($AN$15:$AN$114&gt;=U38)*($AK$15:$AK$114=$U$2),0),2),""))</f>
        <v/>
      </c>
      <c r="V42" s="25" t="str">
        <f t="array" ref="V42">IF(OR(V41=1,V41=7),"",IFERROR(INDEX($AK$15:$AN$114,MATCH(1,(V38&gt;=$AM$15:$AM$114)*($AN$15:$AN$114&gt;=V38)*($AK$15:$AK$114=$U$2),0),2),""))</f>
        <v/>
      </c>
      <c r="W42" s="25" t="str">
        <f t="array" ref="W42">IF(OR(W41=1,W41=7),"",IFERROR(INDEX($AK$15:$AN$114,MATCH(1,(W38&gt;=$AM$15:$AM$114)*($AN$15:$AN$114&gt;=W38)*($AK$15:$AK$114=$U$2),0),2),""))</f>
        <v/>
      </c>
      <c r="X42" s="25" t="str">
        <f t="array" ref="X42">IF(OR(X41=1,X41=7),"",IFERROR(INDEX($AK$15:$AN$114,MATCH(1,(X38&gt;=$AM$15:$AM$114)*($AN$15:$AN$114&gt;=X38)*($AK$15:$AK$114=$U$2),0),2),""))</f>
        <v/>
      </c>
      <c r="Y42" s="25" t="str">
        <f t="array" ref="Y42">IF(OR(Y41=1,Y41=7),"",IFERROR(INDEX($AK$15:$AN$114,MATCH(1,(Y38&gt;=$AM$15:$AM$114)*($AN$15:$AN$114&gt;=Y38)*($AK$15:$AK$114=$U$2),0),2),""))</f>
        <v/>
      </c>
      <c r="Z42" s="25" t="str">
        <f t="array" ref="Z42">IF(OR(Z41=1,Z41=7),"",IFERROR(INDEX($AK$15:$AN$114,MATCH(1,(Z38&gt;=$AM$15:$AM$114)*($AN$15:$AN$114&gt;=Z38)*($AK$15:$AK$114=$U$2),0),2),""))</f>
        <v/>
      </c>
      <c r="AA42" s="25" t="str">
        <f t="array" ref="AA42">IF(OR(AA41=1,AA41=7),"",IFERROR(INDEX($AK$15:$AN$114,MATCH(1,(AA38&gt;=$AM$15:$AM$114)*($AN$15:$AN$114&gt;=AA38)*($AK$15:$AK$114=$U$2),0),2),""))</f>
        <v/>
      </c>
      <c r="AB42" s="25" t="str">
        <f t="array" ref="AB42">IF(OR(AB41=1,AB41=7),"",IFERROR(INDEX($AK$15:$AN$114,MATCH(1,(AB38&gt;=$AM$15:$AM$114)*($AN$15:$AN$114&gt;=AB38)*($AK$15:$AK$114=$U$2),0),2),""))</f>
        <v/>
      </c>
      <c r="AC42" s="25" t="str">
        <f t="array" ref="AC42">IF(OR(AC41=1,AC41=7),"",IFERROR(INDEX($AK$15:$AN$114,MATCH(1,(AC38&gt;=$AM$15:$AM$114)*($AN$15:$AN$114&gt;=AC38)*($AK$15:$AK$114=$U$2),0),2),""))</f>
        <v/>
      </c>
      <c r="AD42" s="25" t="str">
        <f t="array" ref="AD42">IF(OR(AD41=1,AD41=7),"",IFERROR(INDEX($AK$15:$AN$114,MATCH(1,(AD38&gt;=$AM$15:$AM$114)*($AN$15:$AN$114&gt;=AD38)*($AK$15:$AK$114=$U$2),0),2),""))</f>
        <v/>
      </c>
      <c r="AE42" s="25" t="str">
        <f t="array" ref="AE42">IF(OR(AE41=1,AE41=7),"",IFERROR(INDEX($AK$15:$AN$114,MATCH(1,(AE38&gt;=$AM$15:$AM$114)*($AN$15:$AN$114&gt;=AE38)*($AK$15:$AK$114=$U$2),0),2),""))</f>
        <v/>
      </c>
      <c r="AF42" s="25" t="str">
        <f t="array" ref="AF42">IF(OR(AF41=1,AF41=7),"",IFERROR(INDEX($AK$15:$AN$114,MATCH(1,(AF38&gt;=$AM$15:$AM$114)*($AN$15:$AN$114&gt;=AF38)*($AK$15:$AK$114=$U$2),0),2),""))</f>
        <v/>
      </c>
      <c r="AG42" s="26" t="str">
        <f t="array" ref="AG42">IF(OR(AG41=1,AG41=7),"",IFERROR(INDEX($AK$15:$AN$114,MATCH(1,(AG38&gt;=$AM$15:$AM$114)*($AN$15:$AN$114&gt;=AG38)*($AK$15:$AK$114=$U$2),0),2),""))</f>
        <v/>
      </c>
      <c r="AH42" s="649">
        <f>COUNTIF(C42:AG42,AI42)</f>
        <v>0</v>
      </c>
      <c r="AI42" s="641" t="s">
        <v>362</v>
      </c>
      <c r="AJ42" s="13">
        <v>28</v>
      </c>
      <c r="AL42" s="23"/>
      <c r="AM42" s="31"/>
      <c r="AN42" s="31"/>
      <c r="AO42" s="635">
        <f>Absences26810[[#This Row],[debut]]</f>
        <v>0</v>
      </c>
    </row>
    <row r="43" spans="1:83" ht="14.25" customHeight="1" x14ac:dyDescent="0.25">
      <c r="A43" s="13"/>
      <c r="B43" s="20">
        <f>DATE($C$2,MONTH(1&amp;"/"&amp;C44),1)</f>
        <v>44044</v>
      </c>
      <c r="C43" s="14">
        <f>B43</f>
        <v>44044</v>
      </c>
      <c r="D43" s="14">
        <f>IFERROR(IF(C43+1&gt;$B$44,"",C43+1),"")</f>
        <v>44045</v>
      </c>
      <c r="E43" s="14">
        <f t="shared" ref="E43:AG43" si="30">IFERROR(IF(D43+1&gt;$B$44,"",D43+1),"")</f>
        <v>44046</v>
      </c>
      <c r="F43" s="14">
        <f t="shared" si="30"/>
        <v>44047</v>
      </c>
      <c r="G43" s="14">
        <f t="shared" si="30"/>
        <v>44048</v>
      </c>
      <c r="H43" s="14">
        <f t="shared" si="30"/>
        <v>44049</v>
      </c>
      <c r="I43" s="14">
        <f t="shared" si="30"/>
        <v>44050</v>
      </c>
      <c r="J43" s="14">
        <f t="shared" si="30"/>
        <v>44051</v>
      </c>
      <c r="K43" s="14">
        <f t="shared" si="30"/>
        <v>44052</v>
      </c>
      <c r="L43" s="14">
        <f t="shared" si="30"/>
        <v>44053</v>
      </c>
      <c r="M43" s="14">
        <f t="shared" si="30"/>
        <v>44054</v>
      </c>
      <c r="N43" s="14">
        <f t="shared" si="30"/>
        <v>44055</v>
      </c>
      <c r="O43" s="14">
        <f t="shared" si="30"/>
        <v>44056</v>
      </c>
      <c r="P43" s="14">
        <f t="shared" si="30"/>
        <v>44057</v>
      </c>
      <c r="Q43" s="14">
        <f t="shared" si="30"/>
        <v>44058</v>
      </c>
      <c r="R43" s="14">
        <f t="shared" si="30"/>
        <v>44059</v>
      </c>
      <c r="S43" s="14">
        <f t="shared" si="30"/>
        <v>44060</v>
      </c>
      <c r="T43" s="14">
        <f t="shared" si="30"/>
        <v>44061</v>
      </c>
      <c r="U43" s="14">
        <f t="shared" si="30"/>
        <v>44062</v>
      </c>
      <c r="V43" s="14">
        <f t="shared" si="30"/>
        <v>44063</v>
      </c>
      <c r="W43" s="14">
        <f t="shared" si="30"/>
        <v>44064</v>
      </c>
      <c r="X43" s="14">
        <f t="shared" si="30"/>
        <v>44065</v>
      </c>
      <c r="Y43" s="14">
        <f t="shared" si="30"/>
        <v>44066</v>
      </c>
      <c r="Z43" s="14">
        <f t="shared" si="30"/>
        <v>44067</v>
      </c>
      <c r="AA43" s="14">
        <f t="shared" si="30"/>
        <v>44068</v>
      </c>
      <c r="AB43" s="14">
        <f t="shared" si="30"/>
        <v>44069</v>
      </c>
      <c r="AC43" s="14">
        <f t="shared" si="30"/>
        <v>44070</v>
      </c>
      <c r="AD43" s="14">
        <f t="shared" si="30"/>
        <v>44071</v>
      </c>
      <c r="AE43" s="14">
        <f t="shared" si="30"/>
        <v>44072</v>
      </c>
      <c r="AF43" s="14">
        <f t="shared" si="30"/>
        <v>44073</v>
      </c>
      <c r="AG43" s="14">
        <f t="shared" si="30"/>
        <v>44074</v>
      </c>
      <c r="AH43" s="647">
        <f>COUNTIF(C47:AG47,AI43)</f>
        <v>0</v>
      </c>
      <c r="AI43" s="640" t="s">
        <v>8</v>
      </c>
      <c r="AJ43" s="13">
        <v>29</v>
      </c>
      <c r="AL43" s="23"/>
      <c r="AM43" s="31"/>
      <c r="AN43" s="31"/>
      <c r="AO43" s="635">
        <f>Absences26810[[#This Row],[debut]]</f>
        <v>0</v>
      </c>
    </row>
    <row r="44" spans="1:83" ht="18.75" x14ac:dyDescent="0.25">
      <c r="A44" s="13"/>
      <c r="B44" s="21">
        <f>EOMONTH(B43,0)</f>
        <v>44074</v>
      </c>
      <c r="C44" s="1476" t="s">
        <v>42</v>
      </c>
      <c r="D44" s="1477"/>
      <c r="E44" s="1477"/>
      <c r="F44" s="1477"/>
      <c r="G44" s="1477"/>
      <c r="H44" s="1477"/>
      <c r="I44" s="1477"/>
      <c r="J44" s="1477"/>
      <c r="K44" s="1477"/>
      <c r="L44" s="1477"/>
      <c r="M44" s="1477"/>
      <c r="N44" s="1477"/>
      <c r="O44" s="1477"/>
      <c r="P44" s="1477"/>
      <c r="Q44" s="1477"/>
      <c r="R44" s="1477"/>
      <c r="S44" s="1477"/>
      <c r="T44" s="1477"/>
      <c r="U44" s="1477"/>
      <c r="V44" s="1477"/>
      <c r="W44" s="1477"/>
      <c r="X44" s="1477"/>
      <c r="Y44" s="1477"/>
      <c r="Z44" s="1477"/>
      <c r="AA44" s="1477"/>
      <c r="AB44" s="1477"/>
      <c r="AC44" s="1477"/>
      <c r="AD44" s="1477"/>
      <c r="AE44" s="1477"/>
      <c r="AF44" s="1477"/>
      <c r="AG44" s="1478"/>
      <c r="AH44" s="648">
        <f>COUNTIF(C47:AG47,AI44)</f>
        <v>0</v>
      </c>
      <c r="AI44" s="629" t="s">
        <v>360</v>
      </c>
      <c r="AJ44" s="13">
        <v>30</v>
      </c>
      <c r="AL44" s="23"/>
      <c r="AM44" s="31"/>
      <c r="AN44" s="31"/>
      <c r="AO44" s="635">
        <f>Absences26810[[#This Row],[debut]]</f>
        <v>0</v>
      </c>
    </row>
    <row r="45" spans="1:83" x14ac:dyDescent="0.25">
      <c r="A45" s="654"/>
      <c r="B45" s="657"/>
      <c r="C45" s="6">
        <f t="shared" ref="C45:AG45" si="31">IFERROR(DAY(C43),"")</f>
        <v>1</v>
      </c>
      <c r="D45" s="3">
        <f t="shared" si="31"/>
        <v>2</v>
      </c>
      <c r="E45" s="3">
        <f t="shared" si="31"/>
        <v>3</v>
      </c>
      <c r="F45" s="3">
        <f t="shared" si="31"/>
        <v>4</v>
      </c>
      <c r="G45" s="3">
        <f t="shared" si="31"/>
        <v>5</v>
      </c>
      <c r="H45" s="3">
        <f t="shared" si="31"/>
        <v>6</v>
      </c>
      <c r="I45" s="3">
        <f t="shared" si="31"/>
        <v>7</v>
      </c>
      <c r="J45" s="3">
        <f t="shared" si="31"/>
        <v>8</v>
      </c>
      <c r="K45" s="3">
        <f t="shared" si="31"/>
        <v>9</v>
      </c>
      <c r="L45" s="3">
        <f t="shared" si="31"/>
        <v>10</v>
      </c>
      <c r="M45" s="3">
        <f t="shared" si="31"/>
        <v>11</v>
      </c>
      <c r="N45" s="3">
        <f t="shared" si="31"/>
        <v>12</v>
      </c>
      <c r="O45" s="3">
        <f t="shared" si="31"/>
        <v>13</v>
      </c>
      <c r="P45" s="3">
        <f t="shared" si="31"/>
        <v>14</v>
      </c>
      <c r="Q45" s="3">
        <f t="shared" si="31"/>
        <v>15</v>
      </c>
      <c r="R45" s="3">
        <f t="shared" si="31"/>
        <v>16</v>
      </c>
      <c r="S45" s="3">
        <f t="shared" si="31"/>
        <v>17</v>
      </c>
      <c r="T45" s="3">
        <f t="shared" si="31"/>
        <v>18</v>
      </c>
      <c r="U45" s="3">
        <f t="shared" si="31"/>
        <v>19</v>
      </c>
      <c r="V45" s="3">
        <f t="shared" si="31"/>
        <v>20</v>
      </c>
      <c r="W45" s="3">
        <f t="shared" si="31"/>
        <v>21</v>
      </c>
      <c r="X45" s="3">
        <f t="shared" si="31"/>
        <v>22</v>
      </c>
      <c r="Y45" s="3">
        <f t="shared" si="31"/>
        <v>23</v>
      </c>
      <c r="Z45" s="3">
        <f t="shared" si="31"/>
        <v>24</v>
      </c>
      <c r="AA45" s="3">
        <f t="shared" si="31"/>
        <v>25</v>
      </c>
      <c r="AB45" s="3">
        <f t="shared" si="31"/>
        <v>26</v>
      </c>
      <c r="AC45" s="3">
        <f t="shared" si="31"/>
        <v>27</v>
      </c>
      <c r="AD45" s="3">
        <f t="shared" si="31"/>
        <v>28</v>
      </c>
      <c r="AE45" s="3">
        <f t="shared" si="31"/>
        <v>29</v>
      </c>
      <c r="AF45" s="3">
        <f t="shared" si="31"/>
        <v>30</v>
      </c>
      <c r="AG45" s="7">
        <f t="shared" si="31"/>
        <v>31</v>
      </c>
      <c r="AH45" s="648">
        <f>COUNTIF(C47:AG47,AI45)</f>
        <v>0</v>
      </c>
      <c r="AI45" s="10" t="s">
        <v>6</v>
      </c>
      <c r="AJ45" s="13">
        <v>31</v>
      </c>
      <c r="AL45" s="23"/>
      <c r="AM45" s="31"/>
      <c r="AN45" s="31"/>
      <c r="AO45" s="635">
        <f>Absences26810[[#This Row],[debut]]</f>
        <v>0</v>
      </c>
    </row>
    <row r="46" spans="1:83" x14ac:dyDescent="0.25">
      <c r="A46" s="655" t="s">
        <v>800</v>
      </c>
      <c r="B46" s="658">
        <f>COUNTIF(C47:AG47,A46)</f>
        <v>0</v>
      </c>
      <c r="C46" s="5">
        <f t="shared" ref="C46:AC46" si="32">IF(C43="","",WEEKDAY(C43,1))</f>
        <v>7</v>
      </c>
      <c r="D46" s="8">
        <f t="shared" si="32"/>
        <v>1</v>
      </c>
      <c r="E46" s="8">
        <f t="shared" si="32"/>
        <v>2</v>
      </c>
      <c r="F46" s="8">
        <f t="shared" si="32"/>
        <v>3</v>
      </c>
      <c r="G46" s="8">
        <f t="shared" si="32"/>
        <v>4</v>
      </c>
      <c r="H46" s="8">
        <f t="shared" si="32"/>
        <v>5</v>
      </c>
      <c r="I46" s="8">
        <f t="shared" si="32"/>
        <v>6</v>
      </c>
      <c r="J46" s="8">
        <f t="shared" si="32"/>
        <v>7</v>
      </c>
      <c r="K46" s="8">
        <f t="shared" si="32"/>
        <v>1</v>
      </c>
      <c r="L46" s="8">
        <f t="shared" si="32"/>
        <v>2</v>
      </c>
      <c r="M46" s="8">
        <f t="shared" si="32"/>
        <v>3</v>
      </c>
      <c r="N46" s="8">
        <f t="shared" si="32"/>
        <v>4</v>
      </c>
      <c r="O46" s="8">
        <f t="shared" si="32"/>
        <v>5</v>
      </c>
      <c r="P46" s="8">
        <f t="shared" si="32"/>
        <v>6</v>
      </c>
      <c r="Q46" s="8">
        <f t="shared" si="32"/>
        <v>7</v>
      </c>
      <c r="R46" s="8">
        <f t="shared" si="32"/>
        <v>1</v>
      </c>
      <c r="S46" s="8">
        <f t="shared" si="32"/>
        <v>2</v>
      </c>
      <c r="T46" s="8">
        <f t="shared" si="32"/>
        <v>3</v>
      </c>
      <c r="U46" s="8">
        <f t="shared" si="32"/>
        <v>4</v>
      </c>
      <c r="V46" s="8">
        <f t="shared" si="32"/>
        <v>5</v>
      </c>
      <c r="W46" s="8">
        <f t="shared" si="32"/>
        <v>6</v>
      </c>
      <c r="X46" s="8">
        <f t="shared" si="32"/>
        <v>7</v>
      </c>
      <c r="Y46" s="8">
        <f t="shared" si="32"/>
        <v>1</v>
      </c>
      <c r="Z46" s="8">
        <f t="shared" si="32"/>
        <v>2</v>
      </c>
      <c r="AA46" s="8">
        <f t="shared" si="32"/>
        <v>3</v>
      </c>
      <c r="AB46" s="8">
        <f t="shared" si="32"/>
        <v>4</v>
      </c>
      <c r="AC46" s="8">
        <f t="shared" si="32"/>
        <v>5</v>
      </c>
      <c r="AD46" s="8">
        <f>IF(AD43="","",WEEKDAY(AD43,1))</f>
        <v>6</v>
      </c>
      <c r="AE46" s="8">
        <f>IF(AE43="","",WEEKDAY(AE43,1))</f>
        <v>7</v>
      </c>
      <c r="AF46" s="8">
        <f t="shared" ref="AF46:AG46" si="33">IF(AF43="","",WEEKDAY(AF43,1))</f>
        <v>1</v>
      </c>
      <c r="AG46" s="9">
        <f t="shared" si="33"/>
        <v>2</v>
      </c>
      <c r="AH46" s="648">
        <f>COUNTIF(C47:AG47,AI46)</f>
        <v>0</v>
      </c>
      <c r="AI46" s="633" t="s">
        <v>799</v>
      </c>
      <c r="AJ46" s="13">
        <v>32</v>
      </c>
      <c r="AL46" s="23"/>
      <c r="AM46" s="31"/>
      <c r="AN46" s="31"/>
      <c r="AO46" s="635">
        <f>Absences26810[[#This Row],[debut]]</f>
        <v>0</v>
      </c>
    </row>
    <row r="47" spans="1:83" ht="16.5" thickBot="1" x14ac:dyDescent="0.3">
      <c r="A47" s="656" t="s">
        <v>7</v>
      </c>
      <c r="B47" s="659">
        <f>COUNTIF(C47:AG47,A47)</f>
        <v>0</v>
      </c>
      <c r="C47" s="24" t="str">
        <f t="array" ref="C47">IF(OR(C46=1,C46=7),"",IFERROR(INDEX($AK$15:$AN$114,MATCH(1,(C43&gt;=$AM$15:$AM$114)*($AN$15:$AN$114&gt;=C43)*($AK$15:$AK$114=$U$2),0),2),""))</f>
        <v/>
      </c>
      <c r="D47" s="25" t="str">
        <f t="array" ref="D47">IF(OR(D46=1,D46=7),"",IFERROR(INDEX($AK$15:$AN$114,MATCH(1,(D43&gt;=$AM$15:$AM$114)*($AN$15:$AN$114&gt;=D43)*($AK$15:$AK$114=$U$2),0),2),""))</f>
        <v/>
      </c>
      <c r="E47" s="25" t="str">
        <f t="array" ref="E47">IF(OR(E46=1,E46=7),"",IFERROR(INDEX($AK$15:$AN$114,MATCH(1,(E43&gt;=$AM$15:$AM$114)*($AN$15:$AN$114&gt;=E43)*($AK$15:$AK$114=$U$2),0),2),""))</f>
        <v/>
      </c>
      <c r="F47" s="25" t="str">
        <f t="array" ref="F47">IF(OR(F46=1,F46=7),"",IFERROR(INDEX($AK$15:$AN$114,MATCH(1,(F43&gt;=$AM$15:$AM$114)*($AN$15:$AN$114&gt;=F43)*($AK$15:$AK$114=$U$2),0),2),""))</f>
        <v/>
      </c>
      <c r="G47" s="25" t="str">
        <f t="array" ref="G47">IF(OR(G46=1,G46=7),"",IFERROR(INDEX($AK$15:$AN$114,MATCH(1,(G43&gt;=$AM$15:$AM$114)*($AN$15:$AN$114&gt;=G43)*($AK$15:$AK$114=$U$2),0),2),""))</f>
        <v/>
      </c>
      <c r="H47" s="25" t="str">
        <f t="array" ref="H47">IF(OR(H46=1,H46=7),"",IFERROR(INDEX($AK$15:$AN$114,MATCH(1,(H43&gt;=$AM$15:$AM$114)*($AN$15:$AN$114&gt;=H43)*($AK$15:$AK$114=$U$2),0),2),""))</f>
        <v/>
      </c>
      <c r="I47" s="25" t="str">
        <f t="array" ref="I47">IF(OR(I46=1,I46=7),"",IFERROR(INDEX($AK$15:$AN$114,MATCH(1,(I43&gt;=$AM$15:$AM$114)*($AN$15:$AN$114&gt;=I43)*($AK$15:$AK$114=$U$2),0),2),""))</f>
        <v/>
      </c>
      <c r="J47" s="25" t="str">
        <f t="array" ref="J47">IF(OR(J46=1,J46=7),"",IFERROR(INDEX($AK$15:$AN$114,MATCH(1,(J43&gt;=$AM$15:$AM$114)*($AN$15:$AN$114&gt;=J43)*($AK$15:$AK$114=$U$2),0),2),""))</f>
        <v/>
      </c>
      <c r="K47" s="25" t="str">
        <f t="array" ref="K47">IF(OR(K46=1,K46=7),"",IFERROR(INDEX($AK$15:$AN$114,MATCH(1,(K43&gt;=$AM$15:$AM$114)*($AN$15:$AN$114&gt;=K43)*($AK$15:$AK$114=$U$2),0),2),""))</f>
        <v/>
      </c>
      <c r="L47" s="25" t="str">
        <f t="array" ref="L47">IF(OR(L46=1,L46=7),"",IFERROR(INDEX($AK$15:$AN$114,MATCH(1,(L43&gt;=$AM$15:$AM$114)*($AN$15:$AN$114&gt;=L43)*($AK$15:$AK$114=$U$2),0),2),""))</f>
        <v/>
      </c>
      <c r="M47" s="25" t="str">
        <f t="array" ref="M47">IF(OR(M46=1,M46=7),"",IFERROR(INDEX($AK$15:$AN$114,MATCH(1,(M43&gt;=$AM$15:$AM$114)*($AN$15:$AN$114&gt;=M43)*($AK$15:$AK$114=$U$2),0),2),""))</f>
        <v/>
      </c>
      <c r="N47" s="25" t="str">
        <f t="array" ref="N47">IF(OR(N46=1,N46=7),"",IFERROR(INDEX($AK$15:$AN$114,MATCH(1,(N43&gt;=$AM$15:$AM$114)*($AN$15:$AN$114&gt;=N43)*($AK$15:$AK$114=$U$2),0),2),""))</f>
        <v/>
      </c>
      <c r="O47" s="25" t="str">
        <f t="array" ref="O47">IF(OR(O46=1,O46=7),"",IFERROR(INDEX($AK$15:$AN$114,MATCH(1,(O43&gt;=$AM$15:$AM$114)*($AN$15:$AN$114&gt;=O43)*($AK$15:$AK$114=$U$2),0),2),""))</f>
        <v/>
      </c>
      <c r="P47" s="25" t="str">
        <f t="array" ref="P47">IF(OR(P46=1,P46=7),"",IFERROR(INDEX($AK$15:$AN$114,MATCH(1,(P43&gt;=$AM$15:$AM$114)*($AN$15:$AN$114&gt;=P43)*($AK$15:$AK$114=$U$2),0),2),""))</f>
        <v/>
      </c>
      <c r="Q47" s="25" t="str">
        <f t="array" ref="Q47">IF(OR(Q46=1,Q46=7),"",IFERROR(INDEX($AK$15:$AN$114,MATCH(1,(Q43&gt;=$AM$15:$AM$114)*($AN$15:$AN$114&gt;=Q43)*($AK$15:$AK$114=$U$2),0),2),""))</f>
        <v/>
      </c>
      <c r="R47" s="25" t="str">
        <f t="array" ref="R47">IF(OR(R46=1,R46=7),"",IFERROR(INDEX($AK$15:$AN$114,MATCH(1,(R43&gt;=$AM$15:$AM$114)*($AN$15:$AN$114&gt;=R43)*($AK$15:$AK$114=$U$2),0),2),""))</f>
        <v/>
      </c>
      <c r="S47" s="25" t="str">
        <f t="array" ref="S47">IF(OR(S46=1,S46=7),"",IFERROR(INDEX($AK$15:$AN$114,MATCH(1,(S43&gt;=$AM$15:$AM$114)*($AN$15:$AN$114&gt;=S43)*($AK$15:$AK$114=$U$2),0),2),""))</f>
        <v/>
      </c>
      <c r="T47" s="25" t="str">
        <f t="array" ref="T47">IF(OR(T46=1,T46=7),"",IFERROR(INDEX($AK$15:$AN$114,MATCH(1,(T43&gt;=$AM$15:$AM$114)*($AN$15:$AN$114&gt;=T43)*($AK$15:$AK$114=$U$2),0),2),""))</f>
        <v/>
      </c>
      <c r="U47" s="25" t="str">
        <f t="array" ref="U47">IF(OR(U46=1,U46=7),"",IFERROR(INDEX($AK$15:$AN$114,MATCH(1,(U43&gt;=$AM$15:$AM$114)*($AN$15:$AN$114&gt;=U43)*($AK$15:$AK$114=$U$2),0),2),""))</f>
        <v/>
      </c>
      <c r="V47" s="25" t="str">
        <f t="array" ref="V47">IF(OR(V46=1,V46=7),"",IFERROR(INDEX($AK$15:$AN$114,MATCH(1,(V43&gt;=$AM$15:$AM$114)*($AN$15:$AN$114&gt;=V43)*($AK$15:$AK$114=$U$2),0),2),""))</f>
        <v/>
      </c>
      <c r="W47" s="25" t="str">
        <f t="array" ref="W47">IF(OR(W46=1,W46=7),"",IFERROR(INDEX($AK$15:$AN$114,MATCH(1,(W43&gt;=$AM$15:$AM$114)*($AN$15:$AN$114&gt;=W43)*($AK$15:$AK$114=$U$2),0),2),""))</f>
        <v/>
      </c>
      <c r="X47" s="25" t="str">
        <f t="array" ref="X47">IF(OR(X46=1,X46=7),"",IFERROR(INDEX($AK$15:$AN$114,MATCH(1,(X43&gt;=$AM$15:$AM$114)*($AN$15:$AN$114&gt;=X43)*($AK$15:$AK$114=$U$2),0),2),""))</f>
        <v/>
      </c>
      <c r="Y47" s="25" t="str">
        <f t="array" ref="Y47">IF(OR(Y46=1,Y46=7),"",IFERROR(INDEX($AK$15:$AN$114,MATCH(1,(Y43&gt;=$AM$15:$AM$114)*($AN$15:$AN$114&gt;=Y43)*($AK$15:$AK$114=$U$2),0),2),""))</f>
        <v/>
      </c>
      <c r="Z47" s="25" t="str">
        <f t="array" ref="Z47">IF(OR(Z46=1,Z46=7),"",IFERROR(INDEX($AK$15:$AN$114,MATCH(1,(Z43&gt;=$AM$15:$AM$114)*($AN$15:$AN$114&gt;=Z43)*($AK$15:$AK$114=$U$2),0),2),""))</f>
        <v/>
      </c>
      <c r="AA47" s="25" t="str">
        <f t="array" ref="AA47">IF(OR(AA46=1,AA46=7),"",IFERROR(INDEX($AK$15:$AN$114,MATCH(1,(AA43&gt;=$AM$15:$AM$114)*($AN$15:$AN$114&gt;=AA43)*($AK$15:$AK$114=$U$2),0),2),""))</f>
        <v/>
      </c>
      <c r="AB47" s="25" t="str">
        <f t="array" ref="AB47">IF(OR(AB46=1,AB46=7),"",IFERROR(INDEX($AK$15:$AN$114,MATCH(1,(AB43&gt;=$AM$15:$AM$114)*($AN$15:$AN$114&gt;=AB43)*($AK$15:$AK$114=$U$2),0),2),""))</f>
        <v/>
      </c>
      <c r="AC47" s="25" t="str">
        <f t="array" ref="AC47">IF(OR(AC46=1,AC46=7),"",IFERROR(INDEX($AK$15:$AN$114,MATCH(1,(AC43&gt;=$AM$15:$AM$114)*($AN$15:$AN$114&gt;=AC43)*($AK$15:$AK$114=$U$2),0),2),""))</f>
        <v/>
      </c>
      <c r="AD47" s="25" t="str">
        <f t="array" ref="AD47">IF(OR(AD46=1,AD46=7),"",IFERROR(INDEX($AK$15:$AN$114,MATCH(1,(AD43&gt;=$AM$15:$AM$114)*($AN$15:$AN$114&gt;=AD43)*($AK$15:$AK$114=$U$2),0),2),""))</f>
        <v/>
      </c>
      <c r="AE47" s="25" t="str">
        <f t="array" ref="AE47">IF(OR(AE46=1,AE46=7),"",IFERROR(INDEX($AK$15:$AN$114,MATCH(1,(AE43&gt;=$AM$15:$AM$114)*($AN$15:$AN$114&gt;=AE43)*($AK$15:$AK$114=$U$2),0),2),""))</f>
        <v/>
      </c>
      <c r="AF47" s="25" t="str">
        <f t="array" ref="AF47">IF(OR(AF46=1,AF46=7),"",IFERROR(INDEX($AK$15:$AN$114,MATCH(1,(AF43&gt;=$AM$15:$AM$114)*($AN$15:$AN$114&gt;=AF43)*($AK$15:$AK$114=$U$2),0),2),""))</f>
        <v/>
      </c>
      <c r="AG47" s="26" t="str">
        <f t="array" ref="AG47">IF(OR(AG46=1,AG46=7),"",IFERROR(INDEX($AK$15:$AN$114,MATCH(1,(AG43&gt;=$AM$15:$AM$114)*($AN$15:$AN$114&gt;=AG43)*($AK$15:$AK$114=$U$2),0),2),""))</f>
        <v/>
      </c>
      <c r="AH47" s="649">
        <f>COUNTIF(C47:AG47,AI47)</f>
        <v>0</v>
      </c>
      <c r="AI47" s="641" t="s">
        <v>362</v>
      </c>
      <c r="AJ47" s="13">
        <v>33</v>
      </c>
      <c r="AL47" s="23"/>
      <c r="AM47" s="31"/>
      <c r="AN47" s="31"/>
      <c r="AO47" s="635">
        <f>Absences26810[[#This Row],[debut]]</f>
        <v>0</v>
      </c>
    </row>
    <row r="48" spans="1:83" ht="14.25" customHeight="1" x14ac:dyDescent="0.25">
      <c r="A48" s="13"/>
      <c r="B48" s="20">
        <f>DATE($C$2,MONTH(1&amp;"/"&amp;C49),1)</f>
        <v>44075</v>
      </c>
      <c r="C48" s="14">
        <f>B48</f>
        <v>44075</v>
      </c>
      <c r="D48" s="14">
        <f>IFERROR(IF(C48+1&gt;$B$49,"",C48+1),"")</f>
        <v>44076</v>
      </c>
      <c r="E48" s="14">
        <f t="shared" ref="E48:AG48" si="34">IFERROR(IF(D48+1&gt;$B$49,"",D48+1),"")</f>
        <v>44077</v>
      </c>
      <c r="F48" s="14">
        <f t="shared" si="34"/>
        <v>44078</v>
      </c>
      <c r="G48" s="14">
        <f t="shared" si="34"/>
        <v>44079</v>
      </c>
      <c r="H48" s="14">
        <f t="shared" si="34"/>
        <v>44080</v>
      </c>
      <c r="I48" s="14">
        <f t="shared" si="34"/>
        <v>44081</v>
      </c>
      <c r="J48" s="14">
        <f t="shared" si="34"/>
        <v>44082</v>
      </c>
      <c r="K48" s="14">
        <f t="shared" si="34"/>
        <v>44083</v>
      </c>
      <c r="L48" s="14">
        <f t="shared" si="34"/>
        <v>44084</v>
      </c>
      <c r="M48" s="14">
        <f t="shared" si="34"/>
        <v>44085</v>
      </c>
      <c r="N48" s="14">
        <f t="shared" si="34"/>
        <v>44086</v>
      </c>
      <c r="O48" s="14">
        <f t="shared" si="34"/>
        <v>44087</v>
      </c>
      <c r="P48" s="14">
        <f t="shared" si="34"/>
        <v>44088</v>
      </c>
      <c r="Q48" s="14">
        <f t="shared" si="34"/>
        <v>44089</v>
      </c>
      <c r="R48" s="14">
        <f t="shared" si="34"/>
        <v>44090</v>
      </c>
      <c r="S48" s="14">
        <f t="shared" si="34"/>
        <v>44091</v>
      </c>
      <c r="T48" s="14">
        <f t="shared" si="34"/>
        <v>44092</v>
      </c>
      <c r="U48" s="14">
        <f t="shared" si="34"/>
        <v>44093</v>
      </c>
      <c r="V48" s="14">
        <f t="shared" si="34"/>
        <v>44094</v>
      </c>
      <c r="W48" s="14">
        <f t="shared" si="34"/>
        <v>44095</v>
      </c>
      <c r="X48" s="14">
        <f t="shared" si="34"/>
        <v>44096</v>
      </c>
      <c r="Y48" s="14">
        <f t="shared" si="34"/>
        <v>44097</v>
      </c>
      <c r="Z48" s="14">
        <f t="shared" si="34"/>
        <v>44098</v>
      </c>
      <c r="AA48" s="14">
        <f t="shared" si="34"/>
        <v>44099</v>
      </c>
      <c r="AB48" s="14">
        <f t="shared" si="34"/>
        <v>44100</v>
      </c>
      <c r="AC48" s="14">
        <f t="shared" si="34"/>
        <v>44101</v>
      </c>
      <c r="AD48" s="14">
        <f t="shared" si="34"/>
        <v>44102</v>
      </c>
      <c r="AE48" s="14">
        <f t="shared" si="34"/>
        <v>44103</v>
      </c>
      <c r="AF48" s="14">
        <f t="shared" si="34"/>
        <v>44104</v>
      </c>
      <c r="AG48" s="14" t="str">
        <f t="shared" si="34"/>
        <v/>
      </c>
      <c r="AH48" s="647">
        <f>COUNTIF(C52:AG52,AI48)</f>
        <v>0</v>
      </c>
      <c r="AI48" s="640" t="s">
        <v>8</v>
      </c>
      <c r="AJ48" s="13">
        <v>34</v>
      </c>
      <c r="AL48" s="23"/>
      <c r="AM48" s="31"/>
      <c r="AN48" s="31"/>
      <c r="AO48" s="635">
        <f>Absences26810[[#This Row],[debut]]</f>
        <v>0</v>
      </c>
    </row>
    <row r="49" spans="1:41" ht="18.75" x14ac:dyDescent="0.25">
      <c r="A49" s="13"/>
      <c r="B49" s="21">
        <f>EOMONTH(B48,0)</f>
        <v>44104</v>
      </c>
      <c r="C49" s="1476" t="s">
        <v>41</v>
      </c>
      <c r="D49" s="1477"/>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8"/>
      <c r="AH49" s="648">
        <f>COUNTIF(C52:AG52,AI49)</f>
        <v>0</v>
      </c>
      <c r="AI49" s="629" t="s">
        <v>360</v>
      </c>
      <c r="AJ49" s="13">
        <v>35</v>
      </c>
      <c r="AL49" s="23"/>
      <c r="AM49" s="31"/>
      <c r="AN49" s="31"/>
      <c r="AO49" s="635">
        <f>Absences26810[[#This Row],[debut]]</f>
        <v>0</v>
      </c>
    </row>
    <row r="50" spans="1:41" x14ac:dyDescent="0.25">
      <c r="A50" s="654"/>
      <c r="B50" s="657"/>
      <c r="C50" s="6">
        <f t="shared" ref="C50:AG50" si="35">IFERROR(DAY(C48),"")</f>
        <v>1</v>
      </c>
      <c r="D50" s="3">
        <f t="shared" si="35"/>
        <v>2</v>
      </c>
      <c r="E50" s="3">
        <f t="shared" si="35"/>
        <v>3</v>
      </c>
      <c r="F50" s="3">
        <f t="shared" si="35"/>
        <v>4</v>
      </c>
      <c r="G50" s="3">
        <f t="shared" si="35"/>
        <v>5</v>
      </c>
      <c r="H50" s="3">
        <f t="shared" si="35"/>
        <v>6</v>
      </c>
      <c r="I50" s="3">
        <f t="shared" si="35"/>
        <v>7</v>
      </c>
      <c r="J50" s="3">
        <f t="shared" si="35"/>
        <v>8</v>
      </c>
      <c r="K50" s="3">
        <f t="shared" si="35"/>
        <v>9</v>
      </c>
      <c r="L50" s="3">
        <f t="shared" si="35"/>
        <v>10</v>
      </c>
      <c r="M50" s="3">
        <f t="shared" si="35"/>
        <v>11</v>
      </c>
      <c r="N50" s="3">
        <f t="shared" si="35"/>
        <v>12</v>
      </c>
      <c r="O50" s="3">
        <f t="shared" si="35"/>
        <v>13</v>
      </c>
      <c r="P50" s="3">
        <f t="shared" si="35"/>
        <v>14</v>
      </c>
      <c r="Q50" s="3">
        <f t="shared" si="35"/>
        <v>15</v>
      </c>
      <c r="R50" s="3">
        <f t="shared" si="35"/>
        <v>16</v>
      </c>
      <c r="S50" s="3">
        <f t="shared" si="35"/>
        <v>17</v>
      </c>
      <c r="T50" s="3">
        <f t="shared" si="35"/>
        <v>18</v>
      </c>
      <c r="U50" s="3">
        <f t="shared" si="35"/>
        <v>19</v>
      </c>
      <c r="V50" s="3">
        <f t="shared" si="35"/>
        <v>20</v>
      </c>
      <c r="W50" s="3">
        <f t="shared" si="35"/>
        <v>21</v>
      </c>
      <c r="X50" s="3">
        <f t="shared" si="35"/>
        <v>22</v>
      </c>
      <c r="Y50" s="3">
        <f t="shared" si="35"/>
        <v>23</v>
      </c>
      <c r="Z50" s="3">
        <f t="shared" si="35"/>
        <v>24</v>
      </c>
      <c r="AA50" s="3">
        <f t="shared" si="35"/>
        <v>25</v>
      </c>
      <c r="AB50" s="3">
        <f t="shared" si="35"/>
        <v>26</v>
      </c>
      <c r="AC50" s="3">
        <f t="shared" si="35"/>
        <v>27</v>
      </c>
      <c r="AD50" s="3">
        <f t="shared" si="35"/>
        <v>28</v>
      </c>
      <c r="AE50" s="3">
        <f t="shared" si="35"/>
        <v>29</v>
      </c>
      <c r="AF50" s="3">
        <f t="shared" si="35"/>
        <v>30</v>
      </c>
      <c r="AG50" s="7" t="str">
        <f t="shared" si="35"/>
        <v/>
      </c>
      <c r="AH50" s="648">
        <f>COUNTIF(C52:AG52,AI50)</f>
        <v>0</v>
      </c>
      <c r="AI50" s="10" t="s">
        <v>6</v>
      </c>
      <c r="AJ50" s="13">
        <v>36</v>
      </c>
      <c r="AL50" s="23"/>
      <c r="AM50" s="31"/>
      <c r="AN50" s="31"/>
      <c r="AO50" s="635">
        <f>Absences26810[[#This Row],[debut]]</f>
        <v>0</v>
      </c>
    </row>
    <row r="51" spans="1:41" x14ac:dyDescent="0.25">
      <c r="A51" s="655" t="s">
        <v>800</v>
      </c>
      <c r="B51" s="658">
        <f>COUNTIF(C52:AG52,A51)</f>
        <v>0</v>
      </c>
      <c r="C51" s="5">
        <f t="shared" ref="C51:AC51" si="36">IF(C48="","",WEEKDAY(C48,1))</f>
        <v>3</v>
      </c>
      <c r="D51" s="8">
        <f t="shared" si="36"/>
        <v>4</v>
      </c>
      <c r="E51" s="8">
        <f t="shared" si="36"/>
        <v>5</v>
      </c>
      <c r="F51" s="8">
        <f t="shared" si="36"/>
        <v>6</v>
      </c>
      <c r="G51" s="8">
        <f t="shared" si="36"/>
        <v>7</v>
      </c>
      <c r="H51" s="8">
        <f t="shared" si="36"/>
        <v>1</v>
      </c>
      <c r="I51" s="8">
        <f t="shared" si="36"/>
        <v>2</v>
      </c>
      <c r="J51" s="8">
        <f t="shared" si="36"/>
        <v>3</v>
      </c>
      <c r="K51" s="8">
        <f t="shared" si="36"/>
        <v>4</v>
      </c>
      <c r="L51" s="8">
        <f t="shared" si="36"/>
        <v>5</v>
      </c>
      <c r="M51" s="8">
        <f t="shared" si="36"/>
        <v>6</v>
      </c>
      <c r="N51" s="8">
        <f t="shared" si="36"/>
        <v>7</v>
      </c>
      <c r="O51" s="8">
        <f t="shared" si="36"/>
        <v>1</v>
      </c>
      <c r="P51" s="8">
        <f t="shared" si="36"/>
        <v>2</v>
      </c>
      <c r="Q51" s="8">
        <f t="shared" si="36"/>
        <v>3</v>
      </c>
      <c r="R51" s="8">
        <f t="shared" si="36"/>
        <v>4</v>
      </c>
      <c r="S51" s="8">
        <f t="shared" si="36"/>
        <v>5</v>
      </c>
      <c r="T51" s="8">
        <f t="shared" si="36"/>
        <v>6</v>
      </c>
      <c r="U51" s="8">
        <f t="shared" si="36"/>
        <v>7</v>
      </c>
      <c r="V51" s="8">
        <f t="shared" si="36"/>
        <v>1</v>
      </c>
      <c r="W51" s="8">
        <f t="shared" si="36"/>
        <v>2</v>
      </c>
      <c r="X51" s="8">
        <f t="shared" si="36"/>
        <v>3</v>
      </c>
      <c r="Y51" s="8">
        <f t="shared" si="36"/>
        <v>4</v>
      </c>
      <c r="Z51" s="8">
        <f t="shared" si="36"/>
        <v>5</v>
      </c>
      <c r="AA51" s="8">
        <f t="shared" si="36"/>
        <v>6</v>
      </c>
      <c r="AB51" s="8">
        <f t="shared" si="36"/>
        <v>7</v>
      </c>
      <c r="AC51" s="8">
        <f t="shared" si="36"/>
        <v>1</v>
      </c>
      <c r="AD51" s="8">
        <f>IF(AD48="","",WEEKDAY(AD48,1))</f>
        <v>2</v>
      </c>
      <c r="AE51" s="8">
        <f>IF(AE48="","",WEEKDAY(AE48,1))</f>
        <v>3</v>
      </c>
      <c r="AF51" s="8">
        <f t="shared" ref="AF51:AG51" si="37">IF(AF48="","",WEEKDAY(AF48,1))</f>
        <v>4</v>
      </c>
      <c r="AG51" s="9" t="str">
        <f t="shared" si="37"/>
        <v/>
      </c>
      <c r="AH51" s="648">
        <f>COUNTIF(C52:AG52,AI51)</f>
        <v>0</v>
      </c>
      <c r="AI51" s="633" t="s">
        <v>799</v>
      </c>
      <c r="AJ51" s="13">
        <v>37</v>
      </c>
      <c r="AL51" s="23"/>
      <c r="AM51" s="31"/>
      <c r="AN51" s="31"/>
      <c r="AO51" s="635">
        <f>Absences26810[[#This Row],[debut]]</f>
        <v>0</v>
      </c>
    </row>
    <row r="52" spans="1:41" ht="16.5" thickBot="1" x14ac:dyDescent="0.3">
      <c r="A52" s="656" t="s">
        <v>7</v>
      </c>
      <c r="B52" s="659">
        <f>COUNTIF(C52:AG52,A52)</f>
        <v>0</v>
      </c>
      <c r="C52" s="27" t="str">
        <f t="array" ref="C52">IF(OR(C51=1,C51=7),"",IFERROR(INDEX($AK$15:$AN$114,MATCH(1,(C48&gt;=$AM$15:$AM$114)*($AN$15:$AN$114&gt;=C48)*($AK$15:$AK$114=$U$2),0),2),""))</f>
        <v/>
      </c>
      <c r="D52" s="28" t="str">
        <f t="array" ref="D52">IF(OR(D51=1,D51=7),"",IFERROR(INDEX($AK$15:$AN$114,MATCH(1,(D48&gt;=$AM$15:$AM$114)*($AN$15:$AN$114&gt;=D48)*($AK$15:$AK$114=$U$2),0),2),""))</f>
        <v/>
      </c>
      <c r="E52" s="28" t="str">
        <f t="array" ref="E52">IF(OR(E51=1,E51=7),"",IFERROR(INDEX($AK$15:$AN$114,MATCH(1,(E48&gt;=$AM$15:$AM$114)*($AN$15:$AN$114&gt;=E48)*($AK$15:$AK$114=$U$2),0),2),""))</f>
        <v/>
      </c>
      <c r="F52" s="28" t="str">
        <f t="array" ref="F52">IF(OR(F51=1,F51=7),"",IFERROR(INDEX($AK$15:$AN$114,MATCH(1,(F48&gt;=$AM$15:$AM$114)*($AN$15:$AN$114&gt;=F48)*($AK$15:$AK$114=$U$2),0),2),""))</f>
        <v/>
      </c>
      <c r="G52" s="28" t="str">
        <f t="array" ref="G52">IF(OR(G51=1,G51=7),"",IFERROR(INDEX($AK$15:$AN$114,MATCH(1,(G48&gt;=$AM$15:$AM$114)*($AN$15:$AN$114&gt;=G48)*($AK$15:$AK$114=$U$2),0),2),""))</f>
        <v/>
      </c>
      <c r="H52" s="28" t="str">
        <f t="array" ref="H52">IF(OR(H51=1,H51=7),"",IFERROR(INDEX($AK$15:$AN$114,MATCH(1,(H48&gt;=$AM$15:$AM$114)*($AN$15:$AN$114&gt;=H48)*($AK$15:$AK$114=$U$2),0),2),""))</f>
        <v/>
      </c>
      <c r="I52" s="28" t="str">
        <f t="array" ref="I52">IF(OR(I51=1,I51=7),"",IFERROR(INDEX($AK$15:$AN$114,MATCH(1,(I48&gt;=$AM$15:$AM$114)*($AN$15:$AN$114&gt;=I48)*($AK$15:$AK$114=$U$2),0),2),""))</f>
        <v/>
      </c>
      <c r="J52" s="28" t="str">
        <f t="array" ref="J52">IF(OR(J51=1,J51=7),"",IFERROR(INDEX($AK$15:$AN$114,MATCH(1,(J48&gt;=$AM$15:$AM$114)*($AN$15:$AN$114&gt;=J48)*($AK$15:$AK$114=$U$2),0),2),""))</f>
        <v/>
      </c>
      <c r="K52" s="28" t="str">
        <f t="array" ref="K52">IF(OR(K51=1,K51=7),"",IFERROR(INDEX($AK$15:$AN$114,MATCH(1,(K48&gt;=$AM$15:$AM$114)*($AN$15:$AN$114&gt;=K48)*($AK$15:$AK$114=$U$2),0),2),""))</f>
        <v/>
      </c>
      <c r="L52" s="28" t="str">
        <f t="array" ref="L52">IF(OR(L51=1,L51=7),"",IFERROR(INDEX($AK$15:$AN$114,MATCH(1,(L48&gt;=$AM$15:$AM$114)*($AN$15:$AN$114&gt;=L48)*($AK$15:$AK$114=$U$2),0),2),""))</f>
        <v/>
      </c>
      <c r="M52" s="28" t="str">
        <f t="array" ref="M52">IF(OR(M51=1,M51=7),"",IFERROR(INDEX($AK$15:$AN$114,MATCH(1,(M48&gt;=$AM$15:$AM$114)*($AN$15:$AN$114&gt;=M48)*($AK$15:$AK$114=$U$2),0),2),""))</f>
        <v/>
      </c>
      <c r="N52" s="28" t="str">
        <f t="array" ref="N52">IF(OR(N51=1,N51=7),"",IFERROR(INDEX($AK$15:$AN$114,MATCH(1,(N48&gt;=$AM$15:$AM$114)*($AN$15:$AN$114&gt;=N48)*($AK$15:$AK$114=$U$2),0),2),""))</f>
        <v/>
      </c>
      <c r="O52" s="28" t="str">
        <f t="array" ref="O52">IF(OR(O51=1,O51=7),"",IFERROR(INDEX($AK$15:$AN$114,MATCH(1,(O48&gt;=$AM$15:$AM$114)*($AN$15:$AN$114&gt;=O48)*($AK$15:$AK$114=$U$2),0),2),""))</f>
        <v/>
      </c>
      <c r="P52" s="28" t="str">
        <f t="array" ref="P52">IF(OR(P51=1,P51=7),"",IFERROR(INDEX($AK$15:$AN$114,MATCH(1,(P48&gt;=$AM$15:$AM$114)*($AN$15:$AN$114&gt;=P48)*($AK$15:$AK$114=$U$2),0),2),""))</f>
        <v/>
      </c>
      <c r="Q52" s="28" t="str">
        <f t="array" ref="Q52">IF(OR(Q51=1,Q51=7),"",IFERROR(INDEX($AK$15:$AN$114,MATCH(1,(Q48&gt;=$AM$15:$AM$114)*($AN$15:$AN$114&gt;=Q48)*($AK$15:$AK$114=$U$2),0),2),""))</f>
        <v/>
      </c>
      <c r="R52" s="28" t="str">
        <f t="array" ref="R52">IF(OR(R51=1,R51=7),"",IFERROR(INDEX($AK$15:$AN$114,MATCH(1,(R48&gt;=$AM$15:$AM$114)*($AN$15:$AN$114&gt;=R48)*($AK$15:$AK$114=$U$2),0),2),""))</f>
        <v/>
      </c>
      <c r="S52" s="28" t="str">
        <f t="array" ref="S52">IF(OR(S51=1,S51=7),"",IFERROR(INDEX($AK$15:$AN$114,MATCH(1,(S48&gt;=$AM$15:$AM$114)*($AN$15:$AN$114&gt;=S48)*($AK$15:$AK$114=$U$2),0),2),""))</f>
        <v/>
      </c>
      <c r="T52" s="28" t="str">
        <f t="array" ref="T52">IF(OR(T51=1,T51=7),"",IFERROR(INDEX($AK$15:$AN$114,MATCH(1,(T48&gt;=$AM$15:$AM$114)*($AN$15:$AN$114&gt;=T48)*($AK$15:$AK$114=$U$2),0),2),""))</f>
        <v/>
      </c>
      <c r="U52" s="28" t="str">
        <f t="array" ref="U52">IF(OR(U51=1,U51=7),"",IFERROR(INDEX($AK$15:$AN$114,MATCH(1,(U48&gt;=$AM$15:$AM$114)*($AN$15:$AN$114&gt;=U48)*($AK$15:$AK$114=$U$2),0),2),""))</f>
        <v/>
      </c>
      <c r="V52" s="28" t="str">
        <f t="array" ref="V52">IF(OR(V51=1,V51=7),"",IFERROR(INDEX($AK$15:$AN$114,MATCH(1,(V48&gt;=$AM$15:$AM$114)*($AN$15:$AN$114&gt;=V48)*($AK$15:$AK$114=$U$2),0),2),""))</f>
        <v/>
      </c>
      <c r="W52" s="28" t="str">
        <f t="array" ref="W52">IF(OR(W51=1,W51=7),"",IFERROR(INDEX($AK$15:$AN$114,MATCH(1,(W48&gt;=$AM$15:$AM$114)*($AN$15:$AN$114&gt;=W48)*($AK$15:$AK$114=$U$2),0),2),""))</f>
        <v/>
      </c>
      <c r="X52" s="28" t="str">
        <f t="array" ref="X52">IF(OR(X51=1,X51=7),"",IFERROR(INDEX($AK$15:$AN$114,MATCH(1,(X48&gt;=$AM$15:$AM$114)*($AN$15:$AN$114&gt;=X48)*($AK$15:$AK$114=$U$2),0),2),""))</f>
        <v/>
      </c>
      <c r="Y52" s="28" t="str">
        <f t="array" ref="Y52">IF(OR(Y51=1,Y51=7),"",IFERROR(INDEX($AK$15:$AN$114,MATCH(1,(Y48&gt;=$AM$15:$AM$114)*($AN$15:$AN$114&gt;=Y48)*($AK$15:$AK$114=$U$2),0),2),""))</f>
        <v/>
      </c>
      <c r="Z52" s="28" t="str">
        <f t="array" ref="Z52">IF(OR(Z51=1,Z51=7),"",IFERROR(INDEX($AK$15:$AN$114,MATCH(1,(Z48&gt;=$AM$15:$AM$114)*($AN$15:$AN$114&gt;=Z48)*($AK$15:$AK$114=$U$2),0),2),""))</f>
        <v/>
      </c>
      <c r="AA52" s="28" t="str">
        <f t="array" ref="AA52">IF(OR(AA51=1,AA51=7),"",IFERROR(INDEX($AK$15:$AN$114,MATCH(1,(AA48&gt;=$AM$15:$AM$114)*($AN$15:$AN$114&gt;=AA48)*($AK$15:$AK$114=$U$2),0),2),""))</f>
        <v/>
      </c>
      <c r="AB52" s="28" t="str">
        <f t="array" ref="AB52">IF(OR(AB51=1,AB51=7),"",IFERROR(INDEX($AK$15:$AN$114,MATCH(1,(AB48&gt;=$AM$15:$AM$114)*($AN$15:$AN$114&gt;=AB48)*($AK$15:$AK$114=$U$2),0),2),""))</f>
        <v/>
      </c>
      <c r="AC52" s="28" t="str">
        <f t="array" ref="AC52">IF(OR(AC51=1,AC51=7),"",IFERROR(INDEX($AK$15:$AN$114,MATCH(1,(AC48&gt;=$AM$15:$AM$114)*($AN$15:$AN$114&gt;=AC48)*($AK$15:$AK$114=$U$2),0),2),""))</f>
        <v/>
      </c>
      <c r="AD52" s="28" t="str">
        <f t="array" ref="AD52">IF(OR(AD51=1,AD51=7),"",IFERROR(INDEX($AK$15:$AN$114,MATCH(1,(AD48&gt;=$AM$15:$AM$114)*($AN$15:$AN$114&gt;=AD48)*($AK$15:$AK$114=$U$2),0),2),""))</f>
        <v/>
      </c>
      <c r="AE52" s="28" t="str">
        <f t="array" ref="AE52">IF(OR(AE51=1,AE51=7),"",IFERROR(INDEX($AK$15:$AN$114,MATCH(1,(AE48&gt;=$AM$15:$AM$114)*($AN$15:$AN$114&gt;=AE48)*($AK$15:$AK$114=$U$2),0),2),""))</f>
        <v/>
      </c>
      <c r="AF52" s="28" t="str">
        <f t="array" ref="AF52">IF(OR(AF51=1,AF51=7),"",IFERROR(INDEX($AK$15:$AN$114,MATCH(1,(AF48&gt;=$AM$15:$AM$114)*($AN$15:$AN$114&gt;=AF48)*($AK$15:$AK$114=$U$2),0),2),""))</f>
        <v/>
      </c>
      <c r="AG52" s="29" t="str">
        <f t="array" ref="AG52">IF(OR(AG51=1,AG51=7),"",IFERROR(INDEX($AK$15:$AN$114,MATCH(1,(AG48&gt;=$AM$15:$AM$114)*($AN$15:$AN$114&gt;=AG48)*($AK$15:$AK$114=$U$2),0),2),""))</f>
        <v/>
      </c>
      <c r="AH52" s="649">
        <f>COUNTIF(C52:AG52,AI52)</f>
        <v>0</v>
      </c>
      <c r="AI52" s="641" t="s">
        <v>362</v>
      </c>
      <c r="AJ52" s="13">
        <v>38</v>
      </c>
      <c r="AL52" s="23"/>
      <c r="AM52" s="31"/>
      <c r="AN52" s="31"/>
      <c r="AO52" s="635">
        <f>Absences26810[[#This Row],[debut]]</f>
        <v>0</v>
      </c>
    </row>
    <row r="53" spans="1:41" ht="14.25" customHeight="1" x14ac:dyDescent="0.25">
      <c r="A53" s="13"/>
      <c r="B53" s="20">
        <f>DATE($C$2,MONTH(1&amp;"/"&amp;C54),1)</f>
        <v>44105</v>
      </c>
      <c r="C53" s="14">
        <f>B53</f>
        <v>44105</v>
      </c>
      <c r="D53" s="14">
        <f>IFERROR(IF(C53+1&gt;$B$54,"",C53+1),"")</f>
        <v>44106</v>
      </c>
      <c r="E53" s="14">
        <f t="shared" ref="E53:AG53" si="38">IFERROR(IF(D53+1&gt;$B$54,"",D53+1),"")</f>
        <v>44107</v>
      </c>
      <c r="F53" s="14">
        <f t="shared" si="38"/>
        <v>44108</v>
      </c>
      <c r="G53" s="14">
        <f t="shared" si="38"/>
        <v>44109</v>
      </c>
      <c r="H53" s="14">
        <f t="shared" si="38"/>
        <v>44110</v>
      </c>
      <c r="I53" s="14">
        <f t="shared" si="38"/>
        <v>44111</v>
      </c>
      <c r="J53" s="14">
        <f t="shared" si="38"/>
        <v>44112</v>
      </c>
      <c r="K53" s="14">
        <f t="shared" si="38"/>
        <v>44113</v>
      </c>
      <c r="L53" s="14">
        <f t="shared" si="38"/>
        <v>44114</v>
      </c>
      <c r="M53" s="14">
        <f t="shared" si="38"/>
        <v>44115</v>
      </c>
      <c r="N53" s="14">
        <f t="shared" si="38"/>
        <v>44116</v>
      </c>
      <c r="O53" s="14">
        <f t="shared" si="38"/>
        <v>44117</v>
      </c>
      <c r="P53" s="14">
        <f t="shared" si="38"/>
        <v>44118</v>
      </c>
      <c r="Q53" s="14">
        <f t="shared" si="38"/>
        <v>44119</v>
      </c>
      <c r="R53" s="14">
        <f t="shared" si="38"/>
        <v>44120</v>
      </c>
      <c r="S53" s="14">
        <f t="shared" si="38"/>
        <v>44121</v>
      </c>
      <c r="T53" s="14">
        <f t="shared" si="38"/>
        <v>44122</v>
      </c>
      <c r="U53" s="14">
        <f t="shared" si="38"/>
        <v>44123</v>
      </c>
      <c r="V53" s="14">
        <f t="shared" si="38"/>
        <v>44124</v>
      </c>
      <c r="W53" s="14">
        <f t="shared" si="38"/>
        <v>44125</v>
      </c>
      <c r="X53" s="14">
        <f t="shared" si="38"/>
        <v>44126</v>
      </c>
      <c r="Y53" s="14">
        <f t="shared" si="38"/>
        <v>44127</v>
      </c>
      <c r="Z53" s="14">
        <f t="shared" si="38"/>
        <v>44128</v>
      </c>
      <c r="AA53" s="14">
        <f t="shared" si="38"/>
        <v>44129</v>
      </c>
      <c r="AB53" s="14">
        <f t="shared" si="38"/>
        <v>44130</v>
      </c>
      <c r="AC53" s="14">
        <f t="shared" si="38"/>
        <v>44131</v>
      </c>
      <c r="AD53" s="14">
        <f t="shared" si="38"/>
        <v>44132</v>
      </c>
      <c r="AE53" s="14">
        <f t="shared" si="38"/>
        <v>44133</v>
      </c>
      <c r="AF53" s="14">
        <f t="shared" si="38"/>
        <v>44134</v>
      </c>
      <c r="AG53" s="14">
        <f t="shared" si="38"/>
        <v>44135</v>
      </c>
      <c r="AH53" s="647">
        <f>COUNTIF(C57:AG57,AI53)</f>
        <v>0</v>
      </c>
      <c r="AI53" s="640" t="s">
        <v>8</v>
      </c>
      <c r="AJ53" s="13">
        <v>39</v>
      </c>
      <c r="AL53" s="23"/>
      <c r="AM53" s="31"/>
      <c r="AN53" s="31"/>
      <c r="AO53" s="635">
        <f>Absences26810[[#This Row],[debut]]</f>
        <v>0</v>
      </c>
    </row>
    <row r="54" spans="1:41" ht="18.75" x14ac:dyDescent="0.25">
      <c r="A54" s="13"/>
      <c r="B54" s="21">
        <f>EOMONTH(B53,0)</f>
        <v>44135</v>
      </c>
      <c r="C54" s="1476" t="s">
        <v>44</v>
      </c>
      <c r="D54" s="1477"/>
      <c r="E54" s="1477"/>
      <c r="F54" s="1477"/>
      <c r="G54" s="1477"/>
      <c r="H54" s="1477"/>
      <c r="I54" s="1477"/>
      <c r="J54" s="1477"/>
      <c r="K54" s="1477"/>
      <c r="L54" s="1477"/>
      <c r="M54" s="1477"/>
      <c r="N54" s="1477"/>
      <c r="O54" s="1477"/>
      <c r="P54" s="1477"/>
      <c r="Q54" s="1477"/>
      <c r="R54" s="1477"/>
      <c r="S54" s="1477"/>
      <c r="T54" s="1477"/>
      <c r="U54" s="1477"/>
      <c r="V54" s="1477"/>
      <c r="W54" s="1477"/>
      <c r="X54" s="1477"/>
      <c r="Y54" s="1477"/>
      <c r="Z54" s="1477"/>
      <c r="AA54" s="1477"/>
      <c r="AB54" s="1477"/>
      <c r="AC54" s="1477"/>
      <c r="AD54" s="1477"/>
      <c r="AE54" s="1477"/>
      <c r="AF54" s="1477"/>
      <c r="AG54" s="1478"/>
      <c r="AH54" s="648">
        <f>COUNTIF(C57:AG57,AI54)</f>
        <v>0</v>
      </c>
      <c r="AI54" s="629" t="s">
        <v>360</v>
      </c>
      <c r="AJ54" s="13">
        <v>40</v>
      </c>
      <c r="AL54" s="23"/>
      <c r="AM54" s="31"/>
      <c r="AN54" s="31"/>
      <c r="AO54" s="635">
        <f>Absences26810[[#This Row],[debut]]</f>
        <v>0</v>
      </c>
    </row>
    <row r="55" spans="1:41" x14ac:dyDescent="0.25">
      <c r="A55" s="654"/>
      <c r="B55" s="657">
        <f>COUNTIF(C57:AG57,A55)</f>
        <v>0</v>
      </c>
      <c r="C55" s="6">
        <f t="shared" ref="C55:AG55" si="39">IFERROR(DAY(C53),"")</f>
        <v>1</v>
      </c>
      <c r="D55" s="3">
        <f t="shared" si="39"/>
        <v>2</v>
      </c>
      <c r="E55" s="3">
        <f t="shared" si="39"/>
        <v>3</v>
      </c>
      <c r="F55" s="3">
        <f t="shared" si="39"/>
        <v>4</v>
      </c>
      <c r="G55" s="3">
        <f t="shared" si="39"/>
        <v>5</v>
      </c>
      <c r="H55" s="3">
        <f t="shared" si="39"/>
        <v>6</v>
      </c>
      <c r="I55" s="3">
        <f t="shared" si="39"/>
        <v>7</v>
      </c>
      <c r="J55" s="3">
        <f t="shared" si="39"/>
        <v>8</v>
      </c>
      <c r="K55" s="3">
        <f t="shared" si="39"/>
        <v>9</v>
      </c>
      <c r="L55" s="3">
        <f t="shared" si="39"/>
        <v>10</v>
      </c>
      <c r="M55" s="3">
        <f t="shared" si="39"/>
        <v>11</v>
      </c>
      <c r="N55" s="3">
        <f t="shared" si="39"/>
        <v>12</v>
      </c>
      <c r="O55" s="3">
        <f t="shared" si="39"/>
        <v>13</v>
      </c>
      <c r="P55" s="3">
        <f t="shared" si="39"/>
        <v>14</v>
      </c>
      <c r="Q55" s="3">
        <f t="shared" si="39"/>
        <v>15</v>
      </c>
      <c r="R55" s="3">
        <f t="shared" si="39"/>
        <v>16</v>
      </c>
      <c r="S55" s="3">
        <f t="shared" si="39"/>
        <v>17</v>
      </c>
      <c r="T55" s="3">
        <f t="shared" si="39"/>
        <v>18</v>
      </c>
      <c r="U55" s="3">
        <f t="shared" si="39"/>
        <v>19</v>
      </c>
      <c r="V55" s="3">
        <f t="shared" si="39"/>
        <v>20</v>
      </c>
      <c r="W55" s="3">
        <f t="shared" si="39"/>
        <v>21</v>
      </c>
      <c r="X55" s="3">
        <f t="shared" si="39"/>
        <v>22</v>
      </c>
      <c r="Y55" s="3">
        <f t="shared" si="39"/>
        <v>23</v>
      </c>
      <c r="Z55" s="3">
        <f t="shared" si="39"/>
        <v>24</v>
      </c>
      <c r="AA55" s="3">
        <f t="shared" si="39"/>
        <v>25</v>
      </c>
      <c r="AB55" s="3">
        <f t="shared" si="39"/>
        <v>26</v>
      </c>
      <c r="AC55" s="3">
        <f t="shared" si="39"/>
        <v>27</v>
      </c>
      <c r="AD55" s="3">
        <f t="shared" si="39"/>
        <v>28</v>
      </c>
      <c r="AE55" s="3">
        <f t="shared" si="39"/>
        <v>29</v>
      </c>
      <c r="AF55" s="3">
        <f t="shared" si="39"/>
        <v>30</v>
      </c>
      <c r="AG55" s="7">
        <f t="shared" si="39"/>
        <v>31</v>
      </c>
      <c r="AH55" s="648">
        <f>COUNTIF(C57:AG57,AI55)</f>
        <v>0</v>
      </c>
      <c r="AI55" s="10" t="s">
        <v>6</v>
      </c>
      <c r="AJ55" s="13">
        <v>41</v>
      </c>
      <c r="AL55" s="23"/>
      <c r="AM55" s="31"/>
      <c r="AN55" s="31"/>
      <c r="AO55" s="635">
        <f>Absences26810[[#This Row],[debut]]</f>
        <v>0</v>
      </c>
    </row>
    <row r="56" spans="1:41" x14ac:dyDescent="0.25">
      <c r="A56" s="655" t="s">
        <v>800</v>
      </c>
      <c r="B56" s="658">
        <f>COUNTIF(C57:AG57,A56)</f>
        <v>0</v>
      </c>
      <c r="C56" s="5">
        <f t="shared" ref="C56:AC56" si="40">IF(C53="","",WEEKDAY(C53,1))</f>
        <v>5</v>
      </c>
      <c r="D56" s="8">
        <f t="shared" si="40"/>
        <v>6</v>
      </c>
      <c r="E56" s="8">
        <f t="shared" si="40"/>
        <v>7</v>
      </c>
      <c r="F56" s="8">
        <f t="shared" si="40"/>
        <v>1</v>
      </c>
      <c r="G56" s="8">
        <f t="shared" si="40"/>
        <v>2</v>
      </c>
      <c r="H56" s="8">
        <f t="shared" si="40"/>
        <v>3</v>
      </c>
      <c r="I56" s="8">
        <f t="shared" si="40"/>
        <v>4</v>
      </c>
      <c r="J56" s="8">
        <f t="shared" si="40"/>
        <v>5</v>
      </c>
      <c r="K56" s="8">
        <f t="shared" si="40"/>
        <v>6</v>
      </c>
      <c r="L56" s="8">
        <f t="shared" si="40"/>
        <v>7</v>
      </c>
      <c r="M56" s="8">
        <f t="shared" si="40"/>
        <v>1</v>
      </c>
      <c r="N56" s="8">
        <f t="shared" si="40"/>
        <v>2</v>
      </c>
      <c r="O56" s="8">
        <f t="shared" si="40"/>
        <v>3</v>
      </c>
      <c r="P56" s="8">
        <f t="shared" si="40"/>
        <v>4</v>
      </c>
      <c r="Q56" s="8">
        <f t="shared" si="40"/>
        <v>5</v>
      </c>
      <c r="R56" s="8">
        <f t="shared" si="40"/>
        <v>6</v>
      </c>
      <c r="S56" s="8">
        <f t="shared" si="40"/>
        <v>7</v>
      </c>
      <c r="T56" s="8">
        <f t="shared" si="40"/>
        <v>1</v>
      </c>
      <c r="U56" s="8">
        <f t="shared" si="40"/>
        <v>2</v>
      </c>
      <c r="V56" s="8">
        <f t="shared" si="40"/>
        <v>3</v>
      </c>
      <c r="W56" s="8">
        <f t="shared" si="40"/>
        <v>4</v>
      </c>
      <c r="X56" s="8">
        <f t="shared" si="40"/>
        <v>5</v>
      </c>
      <c r="Y56" s="8">
        <f t="shared" si="40"/>
        <v>6</v>
      </c>
      <c r="Z56" s="8">
        <f t="shared" si="40"/>
        <v>7</v>
      </c>
      <c r="AA56" s="8">
        <f t="shared" si="40"/>
        <v>1</v>
      </c>
      <c r="AB56" s="8">
        <f t="shared" si="40"/>
        <v>2</v>
      </c>
      <c r="AC56" s="8">
        <f t="shared" si="40"/>
        <v>3</v>
      </c>
      <c r="AD56" s="8">
        <f>IF(AD53="","",WEEKDAY(AD53,1))</f>
        <v>4</v>
      </c>
      <c r="AE56" s="8">
        <f>IF(AE53="","",WEEKDAY(AE53,1))</f>
        <v>5</v>
      </c>
      <c r="AF56" s="8">
        <f t="shared" ref="AF56:AG56" si="41">IF(AF53="","",WEEKDAY(AF53,1))</f>
        <v>6</v>
      </c>
      <c r="AG56" s="9">
        <f t="shared" si="41"/>
        <v>7</v>
      </c>
      <c r="AH56" s="648">
        <f>COUNTIF(C57:AG57,AI56)</f>
        <v>0</v>
      </c>
      <c r="AI56" s="633" t="s">
        <v>799</v>
      </c>
      <c r="AJ56" s="13">
        <v>42</v>
      </c>
      <c r="AL56" s="23"/>
      <c r="AM56" s="31"/>
      <c r="AN56" s="31"/>
      <c r="AO56" s="635">
        <f>Absences26810[[#This Row],[debut]]</f>
        <v>0</v>
      </c>
    </row>
    <row r="57" spans="1:41" ht="16.5" thickBot="1" x14ac:dyDescent="0.3">
      <c r="A57" s="656" t="s">
        <v>7</v>
      </c>
      <c r="B57" s="659">
        <f>COUNTIF(C57:AG57,A57)</f>
        <v>0</v>
      </c>
      <c r="C57" s="24" t="str">
        <f t="array" ref="C57">IF(OR(C56=1,C56=7),"",IFERROR(INDEX($AK$15:$AN$114,MATCH(1,(C53&gt;=$AM$15:$AM$114)*($AN$15:$AN$114&gt;=C53)*($AK$15:$AK$114=$U$2),0),2),""))</f>
        <v/>
      </c>
      <c r="D57" s="25" t="str">
        <f t="array" ref="D57">IF(OR(D56=1,D56=7),"",IFERROR(INDEX($AK$15:$AN$114,MATCH(1,(D53&gt;=$AM$15:$AM$114)*($AN$15:$AN$114&gt;=D53)*($AK$15:$AK$114=$U$2),0),2),""))</f>
        <v/>
      </c>
      <c r="E57" s="25" t="str">
        <f t="array" ref="E57">IF(OR(E56=1,E56=7),"",IFERROR(INDEX($AK$15:$AN$114,MATCH(1,(E53&gt;=$AM$15:$AM$114)*($AN$15:$AN$114&gt;=E53)*($AK$15:$AK$114=$U$2),0),2),""))</f>
        <v/>
      </c>
      <c r="F57" s="25" t="str">
        <f t="array" ref="F57">IF(OR(F56=1,F56=7),"",IFERROR(INDEX($AK$15:$AN$114,MATCH(1,(F53&gt;=$AM$15:$AM$114)*($AN$15:$AN$114&gt;=F53)*($AK$15:$AK$114=$U$2),0),2),""))</f>
        <v/>
      </c>
      <c r="G57" s="25" t="str">
        <f t="array" ref="G57">IF(OR(G56=1,G56=7),"",IFERROR(INDEX($AK$15:$AN$114,MATCH(1,(G53&gt;=$AM$15:$AM$114)*($AN$15:$AN$114&gt;=G53)*($AK$15:$AK$114=$U$2),0),2),""))</f>
        <v/>
      </c>
      <c r="H57" s="25" t="str">
        <f t="array" ref="H57">IF(OR(H56=1,H56=7),"",IFERROR(INDEX($AK$15:$AN$114,MATCH(1,(H53&gt;=$AM$15:$AM$114)*($AN$15:$AN$114&gt;=H53)*($AK$15:$AK$114=$U$2),0),2),""))</f>
        <v/>
      </c>
      <c r="I57" s="25" t="str">
        <f t="array" ref="I57">IF(OR(I56=1,I56=7),"",IFERROR(INDEX($AK$15:$AN$114,MATCH(1,(I53&gt;=$AM$15:$AM$114)*($AN$15:$AN$114&gt;=I53)*($AK$15:$AK$114=$U$2),0),2),""))</f>
        <v/>
      </c>
      <c r="J57" s="25" t="str">
        <f t="array" ref="J57">IF(OR(J56=1,J56=7),"",IFERROR(INDEX($AK$15:$AN$114,MATCH(1,(J53&gt;=$AM$15:$AM$114)*($AN$15:$AN$114&gt;=J53)*($AK$15:$AK$114=$U$2),0),2),""))</f>
        <v/>
      </c>
      <c r="K57" s="25" t="str">
        <f t="array" ref="K57">IF(OR(K56=1,K56=7),"",IFERROR(INDEX($AK$15:$AN$114,MATCH(1,(K53&gt;=$AM$15:$AM$114)*($AN$15:$AN$114&gt;=K53)*($AK$15:$AK$114=$U$2),0),2),""))</f>
        <v/>
      </c>
      <c r="L57" s="25" t="str">
        <f t="array" ref="L57">IF(OR(L56=1,L56=7),"",IFERROR(INDEX($AK$15:$AN$114,MATCH(1,(L53&gt;=$AM$15:$AM$114)*($AN$15:$AN$114&gt;=L53)*($AK$15:$AK$114=$U$2),0),2),""))</f>
        <v/>
      </c>
      <c r="M57" s="25" t="str">
        <f t="array" ref="M57">IF(OR(M56=1,M56=7),"",IFERROR(INDEX($AK$15:$AN$114,MATCH(1,(M53&gt;=$AM$15:$AM$114)*($AN$15:$AN$114&gt;=M53)*($AK$15:$AK$114=$U$2),0),2),""))</f>
        <v/>
      </c>
      <c r="N57" s="25" t="str">
        <f t="array" ref="N57">IF(OR(N56=1,N56=7),"",IFERROR(INDEX($AK$15:$AN$114,MATCH(1,(N53&gt;=$AM$15:$AM$114)*($AN$15:$AN$114&gt;=N53)*($AK$15:$AK$114=$U$2),0),2),""))</f>
        <v/>
      </c>
      <c r="O57" s="25" t="str">
        <f t="array" ref="O57">IF(OR(O56=1,O56=7),"",IFERROR(INDEX($AK$15:$AN$114,MATCH(1,(O53&gt;=$AM$15:$AM$114)*($AN$15:$AN$114&gt;=O53)*($AK$15:$AK$114=$U$2),0),2),""))</f>
        <v/>
      </c>
      <c r="P57" s="25" t="str">
        <f t="array" ref="P57">IF(OR(P56=1,P56=7),"",IFERROR(INDEX($AK$15:$AN$114,MATCH(1,(P53&gt;=$AM$15:$AM$114)*($AN$15:$AN$114&gt;=P53)*($AK$15:$AK$114=$U$2),0),2),""))</f>
        <v/>
      </c>
      <c r="Q57" s="25" t="str">
        <f t="array" ref="Q57">IF(OR(Q56=1,Q56=7),"",IFERROR(INDEX($AK$15:$AN$114,MATCH(1,(Q53&gt;=$AM$15:$AM$114)*($AN$15:$AN$114&gt;=Q53)*($AK$15:$AK$114=$U$2),0),2),""))</f>
        <v/>
      </c>
      <c r="R57" s="25" t="str">
        <f t="array" ref="R57">IF(OR(R56=1,R56=7),"",IFERROR(INDEX($AK$15:$AN$114,MATCH(1,(R53&gt;=$AM$15:$AM$114)*($AN$15:$AN$114&gt;=R53)*($AK$15:$AK$114=$U$2),0),2),""))</f>
        <v/>
      </c>
      <c r="S57" s="25" t="str">
        <f t="array" ref="S57">IF(OR(S56=1,S56=7),"",IFERROR(INDEX($AK$15:$AN$114,MATCH(1,(S53&gt;=$AM$15:$AM$114)*($AN$15:$AN$114&gt;=S53)*($AK$15:$AK$114=$U$2),0),2),""))</f>
        <v/>
      </c>
      <c r="T57" s="25" t="str">
        <f t="array" ref="T57">IF(OR(T56=1,T56=7),"",IFERROR(INDEX($AK$15:$AN$114,MATCH(1,(T53&gt;=$AM$15:$AM$114)*($AN$15:$AN$114&gt;=T53)*($AK$15:$AK$114=$U$2),0),2),""))</f>
        <v/>
      </c>
      <c r="U57" s="25" t="str">
        <f t="array" ref="U57">IF(OR(U56=1,U56=7),"",IFERROR(INDEX($AK$15:$AN$114,MATCH(1,(U53&gt;=$AM$15:$AM$114)*($AN$15:$AN$114&gt;=U53)*($AK$15:$AK$114=$U$2),0),2),""))</f>
        <v/>
      </c>
      <c r="V57" s="25" t="str">
        <f t="array" ref="V57">IF(OR(V56=1,V56=7),"",IFERROR(INDEX($AK$15:$AN$114,MATCH(1,(V53&gt;=$AM$15:$AM$114)*($AN$15:$AN$114&gt;=V53)*($AK$15:$AK$114=$U$2),0),2),""))</f>
        <v/>
      </c>
      <c r="W57" s="25" t="str">
        <f t="array" ref="W57">IF(OR(W56=1,W56=7),"",IFERROR(INDEX($AK$15:$AN$114,MATCH(1,(W53&gt;=$AM$15:$AM$114)*($AN$15:$AN$114&gt;=W53)*($AK$15:$AK$114=$U$2),0),2),""))</f>
        <v/>
      </c>
      <c r="X57" s="25" t="str">
        <f t="array" ref="X57">IF(OR(X56=1,X56=7),"",IFERROR(INDEX($AK$15:$AN$114,MATCH(1,(X53&gt;=$AM$15:$AM$114)*($AN$15:$AN$114&gt;=X53)*($AK$15:$AK$114=$U$2),0),2),""))</f>
        <v/>
      </c>
      <c r="Y57" s="25" t="str">
        <f t="array" ref="Y57">IF(OR(Y56=1,Y56=7),"",IFERROR(INDEX($AK$15:$AN$114,MATCH(1,(Y53&gt;=$AM$15:$AM$114)*($AN$15:$AN$114&gt;=Y53)*($AK$15:$AK$114=$U$2),0),2),""))</f>
        <v/>
      </c>
      <c r="Z57" s="25" t="str">
        <f t="array" ref="Z57">IF(OR(Z56=1,Z56=7),"",IFERROR(INDEX($AK$15:$AN$114,MATCH(1,(Z53&gt;=$AM$15:$AM$114)*($AN$15:$AN$114&gt;=Z53)*($AK$15:$AK$114=$U$2),0),2),""))</f>
        <v/>
      </c>
      <c r="AA57" s="25" t="str">
        <f t="array" ref="AA57">IF(OR(AA56=1,AA56=7),"",IFERROR(INDEX($AK$15:$AN$114,MATCH(1,(AA53&gt;=$AM$15:$AM$114)*($AN$15:$AN$114&gt;=AA53)*($AK$15:$AK$114=$U$2),0),2),""))</f>
        <v/>
      </c>
      <c r="AB57" s="25" t="str">
        <f t="array" ref="AB57">IF(OR(AB56=1,AB56=7),"",IFERROR(INDEX($AK$15:$AN$114,MATCH(1,(AB53&gt;=$AM$15:$AM$114)*($AN$15:$AN$114&gt;=AB53)*($AK$15:$AK$114=$U$2),0),2),""))</f>
        <v/>
      </c>
      <c r="AC57" s="25" t="str">
        <f t="array" ref="AC57">IF(OR(AC56=1,AC56=7),"",IFERROR(INDEX($AK$15:$AN$114,MATCH(1,(AC53&gt;=$AM$15:$AM$114)*($AN$15:$AN$114&gt;=AC53)*($AK$15:$AK$114=$U$2),0),2),""))</f>
        <v/>
      </c>
      <c r="AD57" s="25" t="str">
        <f t="array" ref="AD57">IF(OR(AD56=1,AD56=7),"",IFERROR(INDEX($AK$15:$AN$114,MATCH(1,(AD53&gt;=$AM$15:$AM$114)*($AN$15:$AN$114&gt;=AD53)*($AK$15:$AK$114=$U$2),0),2),""))</f>
        <v/>
      </c>
      <c r="AE57" s="25" t="str">
        <f t="array" ref="AE57">IF(OR(AE56=1,AE56=7),"",IFERROR(INDEX($AK$15:$AN$114,MATCH(1,(AE53&gt;=$AM$15:$AM$114)*($AN$15:$AN$114&gt;=AE53)*($AK$15:$AK$114=$U$2),0),2),""))</f>
        <v/>
      </c>
      <c r="AF57" s="25" t="str">
        <f t="array" ref="AF57">IF(OR(AF56=1,AF56=7),"",IFERROR(INDEX($AK$15:$AN$114,MATCH(1,(AF53&gt;=$AM$15:$AM$114)*($AN$15:$AN$114&gt;=AF53)*($AK$15:$AK$114=$U$2),0),2),""))</f>
        <v/>
      </c>
      <c r="AG57" s="26" t="str">
        <f t="array" ref="AG57">IF(OR(AG56=1,AG56=7),"",IFERROR(INDEX($AK$15:$AN$114,MATCH(1,(AG53&gt;=$AM$15:$AM$114)*($AN$15:$AN$114&gt;=AG53)*($AK$15:$AK$114=$U$2),0),2),""))</f>
        <v/>
      </c>
      <c r="AH57" s="649">
        <f>COUNTIF(C57:AG57,AI57)</f>
        <v>0</v>
      </c>
      <c r="AI57" s="641" t="s">
        <v>362</v>
      </c>
      <c r="AJ57" s="13">
        <v>43</v>
      </c>
      <c r="AL57" s="23"/>
      <c r="AM57" s="31"/>
      <c r="AN57" s="31"/>
      <c r="AO57" s="635">
        <f>Absences26810[[#This Row],[debut]]</f>
        <v>0</v>
      </c>
    </row>
    <row r="58" spans="1:41" ht="14.25" customHeight="1" x14ac:dyDescent="0.25">
      <c r="A58" s="13"/>
      <c r="B58" s="20">
        <f>DATE($C$2,MONTH(1&amp;"/"&amp;C59),1)</f>
        <v>44136</v>
      </c>
      <c r="C58" s="14">
        <f>B58</f>
        <v>44136</v>
      </c>
      <c r="D58" s="14">
        <f>IFERROR(IF(C58+1&gt;$B$59,"",C58+1),"")</f>
        <v>44137</v>
      </c>
      <c r="E58" s="14">
        <f t="shared" ref="E58:AG58" si="42">IFERROR(IF(D58+1&gt;$B$59,"",D58+1),"")</f>
        <v>44138</v>
      </c>
      <c r="F58" s="14">
        <f t="shared" si="42"/>
        <v>44139</v>
      </c>
      <c r="G58" s="14">
        <f t="shared" si="42"/>
        <v>44140</v>
      </c>
      <c r="H58" s="14">
        <f t="shared" si="42"/>
        <v>44141</v>
      </c>
      <c r="I58" s="14">
        <f t="shared" si="42"/>
        <v>44142</v>
      </c>
      <c r="J58" s="14">
        <f t="shared" si="42"/>
        <v>44143</v>
      </c>
      <c r="K58" s="14">
        <f t="shared" si="42"/>
        <v>44144</v>
      </c>
      <c r="L58" s="14">
        <f t="shared" si="42"/>
        <v>44145</v>
      </c>
      <c r="M58" s="14">
        <f t="shared" si="42"/>
        <v>44146</v>
      </c>
      <c r="N58" s="14">
        <f t="shared" si="42"/>
        <v>44147</v>
      </c>
      <c r="O58" s="14">
        <f t="shared" si="42"/>
        <v>44148</v>
      </c>
      <c r="P58" s="14">
        <f t="shared" si="42"/>
        <v>44149</v>
      </c>
      <c r="Q58" s="14">
        <f t="shared" si="42"/>
        <v>44150</v>
      </c>
      <c r="R58" s="14">
        <f t="shared" si="42"/>
        <v>44151</v>
      </c>
      <c r="S58" s="14">
        <f t="shared" si="42"/>
        <v>44152</v>
      </c>
      <c r="T58" s="14">
        <f t="shared" si="42"/>
        <v>44153</v>
      </c>
      <c r="U58" s="14">
        <f t="shared" si="42"/>
        <v>44154</v>
      </c>
      <c r="V58" s="14">
        <f t="shared" si="42"/>
        <v>44155</v>
      </c>
      <c r="W58" s="14">
        <f t="shared" si="42"/>
        <v>44156</v>
      </c>
      <c r="X58" s="14">
        <f t="shared" si="42"/>
        <v>44157</v>
      </c>
      <c r="Y58" s="14">
        <f t="shared" si="42"/>
        <v>44158</v>
      </c>
      <c r="Z58" s="14">
        <f t="shared" si="42"/>
        <v>44159</v>
      </c>
      <c r="AA58" s="14">
        <f t="shared" si="42"/>
        <v>44160</v>
      </c>
      <c r="AB58" s="14">
        <f t="shared" si="42"/>
        <v>44161</v>
      </c>
      <c r="AC58" s="14">
        <f t="shared" si="42"/>
        <v>44162</v>
      </c>
      <c r="AD58" s="14">
        <f t="shared" si="42"/>
        <v>44163</v>
      </c>
      <c r="AE58" s="14">
        <f t="shared" si="42"/>
        <v>44164</v>
      </c>
      <c r="AF58" s="14">
        <f t="shared" si="42"/>
        <v>44165</v>
      </c>
      <c r="AG58" s="14" t="str">
        <f t="shared" si="42"/>
        <v/>
      </c>
      <c r="AH58" s="647">
        <f>COUNTIF(C62:AG62,AI58)</f>
        <v>0</v>
      </c>
      <c r="AI58" s="640" t="s">
        <v>8</v>
      </c>
      <c r="AJ58" s="13">
        <v>44</v>
      </c>
      <c r="AL58" s="23"/>
      <c r="AM58" s="31"/>
      <c r="AN58" s="31"/>
      <c r="AO58" s="635">
        <f>Absences26810[[#This Row],[debut]]</f>
        <v>0</v>
      </c>
    </row>
    <row r="59" spans="1:41" ht="18.75" x14ac:dyDescent="0.25">
      <c r="A59" s="13"/>
      <c r="B59" s="21">
        <f>EOMONTH(B58,0)</f>
        <v>44165</v>
      </c>
      <c r="C59" s="1476" t="s">
        <v>45</v>
      </c>
      <c r="D59" s="1477"/>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c r="AD59" s="1477"/>
      <c r="AE59" s="1477"/>
      <c r="AF59" s="1477"/>
      <c r="AG59" s="1478"/>
      <c r="AH59" s="648">
        <f>COUNTIF(C62:AG62,AI59)</f>
        <v>0</v>
      </c>
      <c r="AI59" s="629" t="s">
        <v>360</v>
      </c>
      <c r="AJ59" s="13">
        <v>45</v>
      </c>
      <c r="AL59" s="23"/>
      <c r="AM59" s="31"/>
      <c r="AN59" s="31"/>
      <c r="AO59" s="635">
        <f>Absences26810[[#This Row],[debut]]</f>
        <v>0</v>
      </c>
    </row>
    <row r="60" spans="1:41" x14ac:dyDescent="0.25">
      <c r="A60" s="654"/>
      <c r="B60" s="657"/>
      <c r="C60" s="6">
        <f t="shared" ref="C60:AG60" si="43">IFERROR(DAY(C58),"")</f>
        <v>1</v>
      </c>
      <c r="D60" s="3">
        <f t="shared" si="43"/>
        <v>2</v>
      </c>
      <c r="E60" s="3">
        <f t="shared" si="43"/>
        <v>3</v>
      </c>
      <c r="F60" s="3">
        <f t="shared" si="43"/>
        <v>4</v>
      </c>
      <c r="G60" s="3">
        <f t="shared" si="43"/>
        <v>5</v>
      </c>
      <c r="H60" s="3">
        <f t="shared" si="43"/>
        <v>6</v>
      </c>
      <c r="I60" s="3">
        <f t="shared" si="43"/>
        <v>7</v>
      </c>
      <c r="J60" s="3">
        <f t="shared" si="43"/>
        <v>8</v>
      </c>
      <c r="K60" s="3">
        <f t="shared" si="43"/>
        <v>9</v>
      </c>
      <c r="L60" s="3">
        <f t="shared" si="43"/>
        <v>10</v>
      </c>
      <c r="M60" s="3">
        <f t="shared" si="43"/>
        <v>11</v>
      </c>
      <c r="N60" s="3">
        <f t="shared" si="43"/>
        <v>12</v>
      </c>
      <c r="O60" s="3">
        <f t="shared" si="43"/>
        <v>13</v>
      </c>
      <c r="P60" s="3">
        <f t="shared" si="43"/>
        <v>14</v>
      </c>
      <c r="Q60" s="3">
        <f t="shared" si="43"/>
        <v>15</v>
      </c>
      <c r="R60" s="3">
        <f t="shared" si="43"/>
        <v>16</v>
      </c>
      <c r="S60" s="3">
        <f t="shared" si="43"/>
        <v>17</v>
      </c>
      <c r="T60" s="3">
        <f t="shared" si="43"/>
        <v>18</v>
      </c>
      <c r="U60" s="3">
        <f t="shared" si="43"/>
        <v>19</v>
      </c>
      <c r="V60" s="3">
        <f t="shared" si="43"/>
        <v>20</v>
      </c>
      <c r="W60" s="3">
        <f t="shared" si="43"/>
        <v>21</v>
      </c>
      <c r="X60" s="3">
        <f t="shared" si="43"/>
        <v>22</v>
      </c>
      <c r="Y60" s="3">
        <f t="shared" si="43"/>
        <v>23</v>
      </c>
      <c r="Z60" s="3">
        <f t="shared" si="43"/>
        <v>24</v>
      </c>
      <c r="AA60" s="3">
        <f t="shared" si="43"/>
        <v>25</v>
      </c>
      <c r="AB60" s="3">
        <f t="shared" si="43"/>
        <v>26</v>
      </c>
      <c r="AC60" s="3">
        <f t="shared" si="43"/>
        <v>27</v>
      </c>
      <c r="AD60" s="3">
        <f t="shared" si="43"/>
        <v>28</v>
      </c>
      <c r="AE60" s="3">
        <f t="shared" si="43"/>
        <v>29</v>
      </c>
      <c r="AF60" s="3">
        <f t="shared" si="43"/>
        <v>30</v>
      </c>
      <c r="AG60" s="7" t="str">
        <f t="shared" si="43"/>
        <v/>
      </c>
      <c r="AH60" s="648">
        <f>COUNTIF(C62:AG62,AI60)</f>
        <v>0</v>
      </c>
      <c r="AI60" s="10" t="s">
        <v>6</v>
      </c>
      <c r="AJ60" s="13">
        <v>46</v>
      </c>
      <c r="AL60" s="23"/>
      <c r="AM60" s="31"/>
      <c r="AN60" s="31"/>
      <c r="AO60" s="635">
        <f>Absences26810[[#This Row],[debut]]</f>
        <v>0</v>
      </c>
    </row>
    <row r="61" spans="1:41" x14ac:dyDescent="0.25">
      <c r="A61" s="655" t="s">
        <v>800</v>
      </c>
      <c r="B61" s="658">
        <f>COUNTIF(C62:AG62,A61)</f>
        <v>0</v>
      </c>
      <c r="C61" s="5">
        <f t="shared" ref="C61:AC61" si="44">IF(C58="","",WEEKDAY(C58,1))</f>
        <v>1</v>
      </c>
      <c r="D61" s="8">
        <f t="shared" si="44"/>
        <v>2</v>
      </c>
      <c r="E61" s="8">
        <f t="shared" si="44"/>
        <v>3</v>
      </c>
      <c r="F61" s="8">
        <f t="shared" si="44"/>
        <v>4</v>
      </c>
      <c r="G61" s="8">
        <f t="shared" si="44"/>
        <v>5</v>
      </c>
      <c r="H61" s="8">
        <f t="shared" si="44"/>
        <v>6</v>
      </c>
      <c r="I61" s="8">
        <f t="shared" si="44"/>
        <v>7</v>
      </c>
      <c r="J61" s="8">
        <f t="shared" si="44"/>
        <v>1</v>
      </c>
      <c r="K61" s="8">
        <f t="shared" si="44"/>
        <v>2</v>
      </c>
      <c r="L61" s="8">
        <f t="shared" si="44"/>
        <v>3</v>
      </c>
      <c r="M61" s="8">
        <f t="shared" si="44"/>
        <v>4</v>
      </c>
      <c r="N61" s="8">
        <f t="shared" si="44"/>
        <v>5</v>
      </c>
      <c r="O61" s="8">
        <f t="shared" si="44"/>
        <v>6</v>
      </c>
      <c r="P61" s="8">
        <f t="shared" si="44"/>
        <v>7</v>
      </c>
      <c r="Q61" s="8">
        <f t="shared" si="44"/>
        <v>1</v>
      </c>
      <c r="R61" s="8">
        <f t="shared" si="44"/>
        <v>2</v>
      </c>
      <c r="S61" s="8">
        <f t="shared" si="44"/>
        <v>3</v>
      </c>
      <c r="T61" s="8">
        <f t="shared" si="44"/>
        <v>4</v>
      </c>
      <c r="U61" s="8">
        <f t="shared" si="44"/>
        <v>5</v>
      </c>
      <c r="V61" s="8">
        <f t="shared" si="44"/>
        <v>6</v>
      </c>
      <c r="W61" s="8">
        <f t="shared" si="44"/>
        <v>7</v>
      </c>
      <c r="X61" s="8">
        <f t="shared" si="44"/>
        <v>1</v>
      </c>
      <c r="Y61" s="8">
        <f t="shared" si="44"/>
        <v>2</v>
      </c>
      <c r="Z61" s="8">
        <f t="shared" si="44"/>
        <v>3</v>
      </c>
      <c r="AA61" s="8">
        <f t="shared" si="44"/>
        <v>4</v>
      </c>
      <c r="AB61" s="8">
        <f t="shared" si="44"/>
        <v>5</v>
      </c>
      <c r="AC61" s="8">
        <f t="shared" si="44"/>
        <v>6</v>
      </c>
      <c r="AD61" s="8">
        <f>IF(AD58="","",WEEKDAY(AD58,1))</f>
        <v>7</v>
      </c>
      <c r="AE61" s="8">
        <f>IF(AE58="","",WEEKDAY(AE58,1))</f>
        <v>1</v>
      </c>
      <c r="AF61" s="8">
        <f t="shared" ref="AF61:AG61" si="45">IF(AF58="","",WEEKDAY(AF58,1))</f>
        <v>2</v>
      </c>
      <c r="AG61" s="9" t="str">
        <f t="shared" si="45"/>
        <v/>
      </c>
      <c r="AH61" s="648">
        <f>COUNTIF(C62:AG62,AI61)</f>
        <v>0</v>
      </c>
      <c r="AI61" s="633" t="s">
        <v>799</v>
      </c>
      <c r="AJ61" s="13">
        <v>47</v>
      </c>
      <c r="AL61" s="23"/>
      <c r="AM61" s="31"/>
      <c r="AN61" s="31"/>
      <c r="AO61" s="635">
        <f>Absences26810[[#This Row],[debut]]</f>
        <v>0</v>
      </c>
    </row>
    <row r="62" spans="1:41" ht="16.5" thickBot="1" x14ac:dyDescent="0.3">
      <c r="A62" s="656" t="s">
        <v>7</v>
      </c>
      <c r="B62" s="659">
        <f>COUNTIF(C62:AG62,A62)</f>
        <v>0</v>
      </c>
      <c r="C62" s="24" t="str">
        <f t="array" ref="C62">IF(OR(C61=1,C61=7),"",IFERROR(INDEX($AK$15:$AN$114,MATCH(1,(C58&gt;=$AM$15:$AM$114)*($AN$15:$AN$114&gt;=C58)*($AK$15:$AK$114=$U$2),0),2),""))</f>
        <v/>
      </c>
      <c r="D62" s="25" t="str">
        <f t="array" ref="D62">IF(OR(D61=1,D61=7),"",IFERROR(INDEX($AK$15:$AN$114,MATCH(1,(D58&gt;=$AM$15:$AM$114)*($AN$15:$AN$114&gt;=D58)*($AK$15:$AK$114=$U$2),0),2),""))</f>
        <v/>
      </c>
      <c r="E62" s="25" t="str">
        <f t="array" ref="E62">IF(OR(E61=1,E61=7),"",IFERROR(INDEX($AK$15:$AN$114,MATCH(1,(E58&gt;=$AM$15:$AM$114)*($AN$15:$AN$114&gt;=E58)*($AK$15:$AK$114=$U$2),0),2),""))</f>
        <v/>
      </c>
      <c r="F62" s="25" t="str">
        <f t="array" ref="F62">IF(OR(F61=1,F61=7),"",IFERROR(INDEX($AK$15:$AN$114,MATCH(1,(F58&gt;=$AM$15:$AM$114)*($AN$15:$AN$114&gt;=F58)*($AK$15:$AK$114=$U$2),0),2),""))</f>
        <v/>
      </c>
      <c r="G62" s="25" t="str">
        <f t="array" ref="G62">IF(OR(G61=1,G61=7),"",IFERROR(INDEX($AK$15:$AN$114,MATCH(1,(G58&gt;=$AM$15:$AM$114)*($AN$15:$AN$114&gt;=G58)*($AK$15:$AK$114=$U$2),0),2),""))</f>
        <v/>
      </c>
      <c r="H62" s="25" t="str">
        <f t="array" ref="H62">IF(OR(H61=1,H61=7),"",IFERROR(INDEX($AK$15:$AN$114,MATCH(1,(H58&gt;=$AM$15:$AM$114)*($AN$15:$AN$114&gt;=H58)*($AK$15:$AK$114=$U$2),0),2),""))</f>
        <v/>
      </c>
      <c r="I62" s="25" t="str">
        <f t="array" ref="I62">IF(OR(I61=1,I61=7),"",IFERROR(INDEX($AK$15:$AN$114,MATCH(1,(I58&gt;=$AM$15:$AM$114)*($AN$15:$AN$114&gt;=I58)*($AK$15:$AK$114=$U$2),0),2),""))</f>
        <v/>
      </c>
      <c r="J62" s="25" t="str">
        <f t="array" ref="J62">IF(OR(J61=1,J61=7),"",IFERROR(INDEX($AK$15:$AN$114,MATCH(1,(J58&gt;=$AM$15:$AM$114)*($AN$15:$AN$114&gt;=J58)*($AK$15:$AK$114=$U$2),0),2),""))</f>
        <v/>
      </c>
      <c r="K62" s="25" t="str">
        <f t="array" ref="K62">IF(OR(K61=1,K61=7),"",IFERROR(INDEX($AK$15:$AN$114,MATCH(1,(K58&gt;=$AM$15:$AM$114)*($AN$15:$AN$114&gt;=K58)*($AK$15:$AK$114=$U$2),0),2),""))</f>
        <v/>
      </c>
      <c r="L62" s="25" t="str">
        <f t="array" ref="L62">IF(OR(L61=1,L61=7),"",IFERROR(INDEX($AK$15:$AN$114,MATCH(1,(L58&gt;=$AM$15:$AM$114)*($AN$15:$AN$114&gt;=L58)*($AK$15:$AK$114=$U$2),0),2),""))</f>
        <v/>
      </c>
      <c r="M62" s="25" t="str">
        <f t="array" ref="M62">IF(OR(M61=1,M61=7),"",IFERROR(INDEX($AK$15:$AN$114,MATCH(1,(M58&gt;=$AM$15:$AM$114)*($AN$15:$AN$114&gt;=M58)*($AK$15:$AK$114=$U$2),0),2),""))</f>
        <v/>
      </c>
      <c r="N62" s="25" t="str">
        <f t="array" ref="N62">IF(OR(N61=1,N61=7),"",IFERROR(INDEX($AK$15:$AN$114,MATCH(1,(N58&gt;=$AM$15:$AM$114)*($AN$15:$AN$114&gt;=N58)*($AK$15:$AK$114=$U$2),0),2),""))</f>
        <v/>
      </c>
      <c r="O62" s="25" t="str">
        <f t="array" ref="O62">IF(OR(O61=1,O61=7),"",IFERROR(INDEX($AK$15:$AN$114,MATCH(1,(O58&gt;=$AM$15:$AM$114)*($AN$15:$AN$114&gt;=O58)*($AK$15:$AK$114=$U$2),0),2),""))</f>
        <v/>
      </c>
      <c r="P62" s="25" t="str">
        <f t="array" ref="P62">IF(OR(P61=1,P61=7),"",IFERROR(INDEX($AK$15:$AN$114,MATCH(1,(P58&gt;=$AM$15:$AM$114)*($AN$15:$AN$114&gt;=P58)*($AK$15:$AK$114=$U$2),0),2),""))</f>
        <v/>
      </c>
      <c r="Q62" s="25" t="str">
        <f t="array" ref="Q62">IF(OR(Q61=1,Q61=7),"",IFERROR(INDEX($AK$15:$AN$114,MATCH(1,(Q58&gt;=$AM$15:$AM$114)*($AN$15:$AN$114&gt;=Q58)*($AK$15:$AK$114=$U$2),0),2),""))</f>
        <v/>
      </c>
      <c r="R62" s="25" t="str">
        <f t="array" ref="R62">IF(OR(R61=1,R61=7),"",IFERROR(INDEX($AK$15:$AN$114,MATCH(1,(R58&gt;=$AM$15:$AM$114)*($AN$15:$AN$114&gt;=R58)*($AK$15:$AK$114=$U$2),0),2),""))</f>
        <v/>
      </c>
      <c r="S62" s="25" t="str">
        <f t="array" ref="S62">IF(OR(S61=1,S61=7),"",IFERROR(INDEX($AK$15:$AN$114,MATCH(1,(S58&gt;=$AM$15:$AM$114)*($AN$15:$AN$114&gt;=S58)*($AK$15:$AK$114=$U$2),0),2),""))</f>
        <v/>
      </c>
      <c r="T62" s="25" t="str">
        <f t="array" ref="T62">IF(OR(T61=1,T61=7),"",IFERROR(INDEX($AK$15:$AN$114,MATCH(1,(T58&gt;=$AM$15:$AM$114)*($AN$15:$AN$114&gt;=T58)*($AK$15:$AK$114=$U$2),0),2),""))</f>
        <v/>
      </c>
      <c r="U62" s="25" t="str">
        <f t="array" ref="U62">IF(OR(U61=1,U61=7),"",IFERROR(INDEX($AK$15:$AN$114,MATCH(1,(U58&gt;=$AM$15:$AM$114)*($AN$15:$AN$114&gt;=U58)*($AK$15:$AK$114=$U$2),0),2),""))</f>
        <v/>
      </c>
      <c r="V62" s="25" t="str">
        <f t="array" ref="V62">IF(OR(V61=1,V61=7),"",IFERROR(INDEX($AK$15:$AN$114,MATCH(1,(V58&gt;=$AM$15:$AM$114)*($AN$15:$AN$114&gt;=V58)*($AK$15:$AK$114=$U$2),0),2),""))</f>
        <v/>
      </c>
      <c r="W62" s="25" t="str">
        <f t="array" ref="W62">IF(OR(W61=1,W61=7),"",IFERROR(INDEX($AK$15:$AN$114,MATCH(1,(W58&gt;=$AM$15:$AM$114)*($AN$15:$AN$114&gt;=W58)*($AK$15:$AK$114=$U$2),0),2),""))</f>
        <v/>
      </c>
      <c r="X62" s="25" t="str">
        <f t="array" ref="X62">IF(OR(X61=1,X61=7),"",IFERROR(INDEX($AK$15:$AN$114,MATCH(1,(X58&gt;=$AM$15:$AM$114)*($AN$15:$AN$114&gt;=X58)*($AK$15:$AK$114=$U$2),0),2),""))</f>
        <v/>
      </c>
      <c r="Y62" s="25" t="str">
        <f t="array" ref="Y62">IF(OR(Y61=1,Y61=7),"",IFERROR(INDEX($AK$15:$AN$114,MATCH(1,(Y58&gt;=$AM$15:$AM$114)*($AN$15:$AN$114&gt;=Y58)*($AK$15:$AK$114=$U$2),0),2),""))</f>
        <v/>
      </c>
      <c r="Z62" s="25" t="str">
        <f t="array" ref="Z62">IF(OR(Z61=1,Z61=7),"",IFERROR(INDEX($AK$15:$AN$114,MATCH(1,(Z58&gt;=$AM$15:$AM$114)*($AN$15:$AN$114&gt;=Z58)*($AK$15:$AK$114=$U$2),0),2),""))</f>
        <v/>
      </c>
      <c r="AA62" s="25" t="str">
        <f t="array" ref="AA62">IF(OR(AA61=1,AA61=7),"",IFERROR(INDEX($AK$15:$AN$114,MATCH(1,(AA58&gt;=$AM$15:$AM$114)*($AN$15:$AN$114&gt;=AA58)*($AK$15:$AK$114=$U$2),0),2),""))</f>
        <v/>
      </c>
      <c r="AB62" s="25" t="str">
        <f t="array" ref="AB62">IF(OR(AB61=1,AB61=7),"",IFERROR(INDEX($AK$15:$AN$114,MATCH(1,(AB58&gt;=$AM$15:$AM$114)*($AN$15:$AN$114&gt;=AB58)*($AK$15:$AK$114=$U$2),0),2),""))</f>
        <v/>
      </c>
      <c r="AC62" s="25" t="str">
        <f t="array" ref="AC62">IF(OR(AC61=1,AC61=7),"",IFERROR(INDEX($AK$15:$AN$114,MATCH(1,(AC58&gt;=$AM$15:$AM$114)*($AN$15:$AN$114&gt;=AC58)*($AK$15:$AK$114=$U$2),0),2),""))</f>
        <v/>
      </c>
      <c r="AD62" s="25" t="str">
        <f t="array" ref="AD62">IF(OR(AD61=1,AD61=7),"",IFERROR(INDEX($AK$15:$AN$114,MATCH(1,(AD58&gt;=$AM$15:$AM$114)*($AN$15:$AN$114&gt;=AD58)*($AK$15:$AK$114=$U$2),0),2),""))</f>
        <v/>
      </c>
      <c r="AE62" s="25" t="str">
        <f t="array" ref="AE62">IF(OR(AE61=1,AE61=7),"",IFERROR(INDEX($AK$15:$AN$114,MATCH(1,(AE58&gt;=$AM$15:$AM$114)*($AN$15:$AN$114&gt;=AE58)*($AK$15:$AK$114=$U$2),0),2),""))</f>
        <v/>
      </c>
      <c r="AF62" s="25" t="str">
        <f t="array" ref="AF62">IF(OR(AF61=1,AF61=7),"",IFERROR(INDEX($AK$15:$AN$114,MATCH(1,(AF58&gt;=$AM$15:$AM$114)*($AN$15:$AN$114&gt;=AF58)*($AK$15:$AK$114=$U$2),0),2),""))</f>
        <v/>
      </c>
      <c r="AG62" s="26" t="str">
        <f t="array" ref="AG62">IF(OR(AG61=1,AG61=7),"",IFERROR(INDEX($AK$15:$AN$114,MATCH(1,(AG58&gt;=$AM$15:$AM$114)*($AN$15:$AN$114&gt;=AG58)*($AK$15:$AK$114=$U$2),0),2),""))</f>
        <v/>
      </c>
      <c r="AH62" s="649">
        <f>COUNTIF(C62:AG62,AI62)</f>
        <v>0</v>
      </c>
      <c r="AI62" s="641" t="s">
        <v>362</v>
      </c>
      <c r="AJ62" s="13">
        <v>48</v>
      </c>
      <c r="AL62" s="23"/>
      <c r="AM62" s="31"/>
      <c r="AN62" s="31"/>
      <c r="AO62" s="635">
        <f>Absences26810[[#This Row],[debut]]</f>
        <v>0</v>
      </c>
    </row>
    <row r="63" spans="1:41" ht="14.25" customHeight="1" x14ac:dyDescent="0.25">
      <c r="A63" s="13"/>
      <c r="B63" s="20">
        <f>DATE($C$2,MONTH(1&amp;"/"&amp;C64),1)</f>
        <v>44166</v>
      </c>
      <c r="C63" s="14">
        <f>B63</f>
        <v>44166</v>
      </c>
      <c r="D63" s="14">
        <f>IFERROR(IF(C63+1&gt;$B$64,"",C63+1),"")</f>
        <v>44167</v>
      </c>
      <c r="E63" s="14">
        <f t="shared" ref="E63:AG63" si="46">IFERROR(IF(D63+1&gt;$B$64,"",D63+1),"")</f>
        <v>44168</v>
      </c>
      <c r="F63" s="14">
        <f t="shared" si="46"/>
        <v>44169</v>
      </c>
      <c r="G63" s="14">
        <f t="shared" si="46"/>
        <v>44170</v>
      </c>
      <c r="H63" s="14">
        <f t="shared" si="46"/>
        <v>44171</v>
      </c>
      <c r="I63" s="14">
        <f t="shared" si="46"/>
        <v>44172</v>
      </c>
      <c r="J63" s="14">
        <f t="shared" si="46"/>
        <v>44173</v>
      </c>
      <c r="K63" s="14">
        <f t="shared" si="46"/>
        <v>44174</v>
      </c>
      <c r="L63" s="14">
        <f t="shared" si="46"/>
        <v>44175</v>
      </c>
      <c r="M63" s="14">
        <f t="shared" si="46"/>
        <v>44176</v>
      </c>
      <c r="N63" s="14">
        <f t="shared" si="46"/>
        <v>44177</v>
      </c>
      <c r="O63" s="14">
        <f t="shared" si="46"/>
        <v>44178</v>
      </c>
      <c r="P63" s="14">
        <f t="shared" si="46"/>
        <v>44179</v>
      </c>
      <c r="Q63" s="14">
        <f t="shared" si="46"/>
        <v>44180</v>
      </c>
      <c r="R63" s="14">
        <f t="shared" si="46"/>
        <v>44181</v>
      </c>
      <c r="S63" s="14">
        <f t="shared" si="46"/>
        <v>44182</v>
      </c>
      <c r="T63" s="14">
        <f t="shared" si="46"/>
        <v>44183</v>
      </c>
      <c r="U63" s="14">
        <f t="shared" si="46"/>
        <v>44184</v>
      </c>
      <c r="V63" s="14">
        <f t="shared" si="46"/>
        <v>44185</v>
      </c>
      <c r="W63" s="14">
        <f t="shared" si="46"/>
        <v>44186</v>
      </c>
      <c r="X63" s="14">
        <f t="shared" si="46"/>
        <v>44187</v>
      </c>
      <c r="Y63" s="14">
        <f t="shared" si="46"/>
        <v>44188</v>
      </c>
      <c r="Z63" s="14">
        <f t="shared" si="46"/>
        <v>44189</v>
      </c>
      <c r="AA63" s="14">
        <f t="shared" si="46"/>
        <v>44190</v>
      </c>
      <c r="AB63" s="14">
        <f t="shared" si="46"/>
        <v>44191</v>
      </c>
      <c r="AC63" s="14">
        <f t="shared" si="46"/>
        <v>44192</v>
      </c>
      <c r="AD63" s="14">
        <f t="shared" si="46"/>
        <v>44193</v>
      </c>
      <c r="AE63" s="14">
        <f t="shared" si="46"/>
        <v>44194</v>
      </c>
      <c r="AF63" s="14">
        <f t="shared" si="46"/>
        <v>44195</v>
      </c>
      <c r="AG63" s="14">
        <f t="shared" si="46"/>
        <v>44196</v>
      </c>
      <c r="AH63" s="647">
        <f>COUNTIF(C67:AG67,AI63)</f>
        <v>0</v>
      </c>
      <c r="AI63" s="640" t="s">
        <v>8</v>
      </c>
      <c r="AJ63" s="13" t="s">
        <v>827</v>
      </c>
      <c r="AL63" s="23"/>
      <c r="AM63" s="31"/>
      <c r="AN63" s="31"/>
      <c r="AO63" s="635">
        <f>Absences26810[[#This Row],[debut]]</f>
        <v>0</v>
      </c>
    </row>
    <row r="64" spans="1:41" ht="18.75" x14ac:dyDescent="0.25">
      <c r="A64" s="13"/>
      <c r="B64" s="21">
        <f>EOMONTH(B63,0)</f>
        <v>44196</v>
      </c>
      <c r="C64" s="1476" t="s">
        <v>51</v>
      </c>
      <c r="D64" s="1477"/>
      <c r="E64" s="1477"/>
      <c r="F64" s="1477"/>
      <c r="G64" s="1477"/>
      <c r="H64" s="1477"/>
      <c r="I64" s="1477"/>
      <c r="J64" s="1477"/>
      <c r="K64" s="1477"/>
      <c r="L64" s="1477"/>
      <c r="M64" s="1477"/>
      <c r="N64" s="1477"/>
      <c r="O64" s="1477"/>
      <c r="P64" s="1477"/>
      <c r="Q64" s="1477"/>
      <c r="R64" s="1477"/>
      <c r="S64" s="1477"/>
      <c r="T64" s="1477"/>
      <c r="U64" s="1477"/>
      <c r="V64" s="1477"/>
      <c r="W64" s="1477"/>
      <c r="X64" s="1477"/>
      <c r="Y64" s="1477"/>
      <c r="Z64" s="1477"/>
      <c r="AA64" s="1477"/>
      <c r="AB64" s="1477"/>
      <c r="AC64" s="1477"/>
      <c r="AD64" s="1477"/>
      <c r="AE64" s="1477"/>
      <c r="AF64" s="1477"/>
      <c r="AG64" s="1478"/>
      <c r="AH64" s="648">
        <f>COUNTIF(C67:AG67,AI64)</f>
        <v>0</v>
      </c>
      <c r="AI64" s="629" t="s">
        <v>360</v>
      </c>
      <c r="AJ64" s="13">
        <v>50</v>
      </c>
      <c r="AL64" s="23"/>
      <c r="AM64" s="31"/>
      <c r="AN64" s="31"/>
      <c r="AO64" s="635">
        <f>Absences26810[[#This Row],[debut]]</f>
        <v>0</v>
      </c>
    </row>
    <row r="65" spans="1:41" x14ac:dyDescent="0.25">
      <c r="A65" s="654"/>
      <c r="B65" s="657"/>
      <c r="C65" s="6">
        <f t="shared" ref="C65:AG65" si="47">IFERROR(DAY(C63),"")</f>
        <v>1</v>
      </c>
      <c r="D65" s="3">
        <f t="shared" si="47"/>
        <v>2</v>
      </c>
      <c r="E65" s="3">
        <f t="shared" si="47"/>
        <v>3</v>
      </c>
      <c r="F65" s="3">
        <f t="shared" si="47"/>
        <v>4</v>
      </c>
      <c r="G65" s="3">
        <f t="shared" si="47"/>
        <v>5</v>
      </c>
      <c r="H65" s="3">
        <f t="shared" si="47"/>
        <v>6</v>
      </c>
      <c r="I65" s="3">
        <f t="shared" si="47"/>
        <v>7</v>
      </c>
      <c r="J65" s="3">
        <f t="shared" si="47"/>
        <v>8</v>
      </c>
      <c r="K65" s="3">
        <f t="shared" si="47"/>
        <v>9</v>
      </c>
      <c r="L65" s="3">
        <f t="shared" si="47"/>
        <v>10</v>
      </c>
      <c r="M65" s="3">
        <f t="shared" si="47"/>
        <v>11</v>
      </c>
      <c r="N65" s="3">
        <f t="shared" si="47"/>
        <v>12</v>
      </c>
      <c r="O65" s="3">
        <f t="shared" si="47"/>
        <v>13</v>
      </c>
      <c r="P65" s="3">
        <f t="shared" si="47"/>
        <v>14</v>
      </c>
      <c r="Q65" s="3">
        <f t="shared" si="47"/>
        <v>15</v>
      </c>
      <c r="R65" s="3">
        <f t="shared" si="47"/>
        <v>16</v>
      </c>
      <c r="S65" s="3">
        <f t="shared" si="47"/>
        <v>17</v>
      </c>
      <c r="T65" s="3">
        <f t="shared" si="47"/>
        <v>18</v>
      </c>
      <c r="U65" s="3">
        <f t="shared" si="47"/>
        <v>19</v>
      </c>
      <c r="V65" s="3">
        <f t="shared" si="47"/>
        <v>20</v>
      </c>
      <c r="W65" s="3">
        <f t="shared" si="47"/>
        <v>21</v>
      </c>
      <c r="X65" s="3">
        <f t="shared" si="47"/>
        <v>22</v>
      </c>
      <c r="Y65" s="3">
        <f t="shared" si="47"/>
        <v>23</v>
      </c>
      <c r="Z65" s="3">
        <f t="shared" si="47"/>
        <v>24</v>
      </c>
      <c r="AA65" s="3">
        <f t="shared" si="47"/>
        <v>25</v>
      </c>
      <c r="AB65" s="3">
        <f t="shared" si="47"/>
        <v>26</v>
      </c>
      <c r="AC65" s="3">
        <f t="shared" si="47"/>
        <v>27</v>
      </c>
      <c r="AD65" s="3">
        <f t="shared" si="47"/>
        <v>28</v>
      </c>
      <c r="AE65" s="3">
        <f t="shared" si="47"/>
        <v>29</v>
      </c>
      <c r="AF65" s="3">
        <f t="shared" si="47"/>
        <v>30</v>
      </c>
      <c r="AG65" s="7">
        <f t="shared" si="47"/>
        <v>31</v>
      </c>
      <c r="AH65" s="648">
        <f>COUNTIF(C67:AG67,AI65)</f>
        <v>0</v>
      </c>
      <c r="AI65" s="10" t="s">
        <v>6</v>
      </c>
      <c r="AJ65" s="13">
        <v>51</v>
      </c>
      <c r="AL65" s="23"/>
      <c r="AM65" s="31"/>
      <c r="AN65" s="31"/>
      <c r="AO65" s="635">
        <f>Absences26810[[#This Row],[debut]]</f>
        <v>0</v>
      </c>
    </row>
    <row r="66" spans="1:41" x14ac:dyDescent="0.25">
      <c r="A66" s="655" t="s">
        <v>800</v>
      </c>
      <c r="B66" s="658">
        <f>COUNTIF(C67:AG67,A66)</f>
        <v>0</v>
      </c>
      <c r="C66" s="5">
        <f t="shared" ref="C66:AC66" si="48">IF(C63="","",WEEKDAY(C63,1))</f>
        <v>3</v>
      </c>
      <c r="D66" s="8">
        <f t="shared" si="48"/>
        <v>4</v>
      </c>
      <c r="E66" s="8">
        <f t="shared" si="48"/>
        <v>5</v>
      </c>
      <c r="F66" s="8">
        <f t="shared" si="48"/>
        <v>6</v>
      </c>
      <c r="G66" s="8">
        <f t="shared" si="48"/>
        <v>7</v>
      </c>
      <c r="H66" s="8">
        <f t="shared" si="48"/>
        <v>1</v>
      </c>
      <c r="I66" s="8">
        <f t="shared" si="48"/>
        <v>2</v>
      </c>
      <c r="J66" s="8">
        <f t="shared" si="48"/>
        <v>3</v>
      </c>
      <c r="K66" s="8">
        <f t="shared" si="48"/>
        <v>4</v>
      </c>
      <c r="L66" s="8">
        <f t="shared" si="48"/>
        <v>5</v>
      </c>
      <c r="M66" s="8">
        <f t="shared" si="48"/>
        <v>6</v>
      </c>
      <c r="N66" s="8">
        <f t="shared" si="48"/>
        <v>7</v>
      </c>
      <c r="O66" s="8">
        <f t="shared" si="48"/>
        <v>1</v>
      </c>
      <c r="P66" s="8">
        <f t="shared" si="48"/>
        <v>2</v>
      </c>
      <c r="Q66" s="8">
        <f t="shared" si="48"/>
        <v>3</v>
      </c>
      <c r="R66" s="8">
        <f t="shared" si="48"/>
        <v>4</v>
      </c>
      <c r="S66" s="8">
        <f t="shared" si="48"/>
        <v>5</v>
      </c>
      <c r="T66" s="8">
        <f t="shared" si="48"/>
        <v>6</v>
      </c>
      <c r="U66" s="8">
        <f t="shared" si="48"/>
        <v>7</v>
      </c>
      <c r="V66" s="8">
        <f t="shared" si="48"/>
        <v>1</v>
      </c>
      <c r="W66" s="8">
        <f t="shared" si="48"/>
        <v>2</v>
      </c>
      <c r="X66" s="8">
        <f t="shared" si="48"/>
        <v>3</v>
      </c>
      <c r="Y66" s="8">
        <f t="shared" si="48"/>
        <v>4</v>
      </c>
      <c r="Z66" s="8">
        <f t="shared" si="48"/>
        <v>5</v>
      </c>
      <c r="AA66" s="8">
        <f t="shared" si="48"/>
        <v>6</v>
      </c>
      <c r="AB66" s="8">
        <f t="shared" si="48"/>
        <v>7</v>
      </c>
      <c r="AC66" s="8">
        <f t="shared" si="48"/>
        <v>1</v>
      </c>
      <c r="AD66" s="8">
        <f>IF(AD63="","",WEEKDAY(AD63,1))</f>
        <v>2</v>
      </c>
      <c r="AE66" s="8">
        <f>IF(AE63="","",WEEKDAY(AE63,1))</f>
        <v>3</v>
      </c>
      <c r="AF66" s="8">
        <f t="shared" ref="AF66:AG66" si="49">IF(AF63="","",WEEKDAY(AF63,1))</f>
        <v>4</v>
      </c>
      <c r="AG66" s="9">
        <f t="shared" si="49"/>
        <v>5</v>
      </c>
      <c r="AH66" s="648">
        <f>COUNTIF(C67:AG67,AI66)</f>
        <v>0</v>
      </c>
      <c r="AI66" s="633" t="s">
        <v>799</v>
      </c>
      <c r="AJ66" s="13">
        <v>52</v>
      </c>
      <c r="AL66" s="23"/>
      <c r="AM66" s="31"/>
      <c r="AN66" s="31"/>
      <c r="AO66" s="635">
        <f>Absences26810[[#This Row],[debut]]</f>
        <v>0</v>
      </c>
    </row>
    <row r="67" spans="1:41" ht="16.5" thickBot="1" x14ac:dyDescent="0.3">
      <c r="A67" s="656" t="s">
        <v>7</v>
      </c>
      <c r="B67" s="659">
        <f>COUNTIF(C67:AG67,A67)</f>
        <v>0</v>
      </c>
      <c r="C67" s="4" t="str">
        <f t="array" ref="C67">IF(OR(C66=1,C66=7),"",IFERROR(INDEX($AK$15:$AN$114,MATCH(1,(C63&gt;=$AM$15:$AM$114)*($AN$15:$AN$114&gt;=C63)*($AK$15:$AK$114=$U$2),0),2),""))</f>
        <v/>
      </c>
      <c r="D67" s="4" t="str">
        <f t="array" ref="D67">IF(OR(D66=1,D66=7),"",IFERROR(INDEX($AK$15:$AN$114,MATCH(1,(D63&gt;=$AM$15:$AM$114)*($AN$15:$AN$114&gt;=D63)*($AK$15:$AK$114=$U$2),0),2),""))</f>
        <v/>
      </c>
      <c r="E67" s="4" t="str">
        <f t="array" ref="E67">IF(OR(E66=1,E66=7),"",IFERROR(INDEX($AK$15:$AN$114,MATCH(1,(E63&gt;=$AM$15:$AM$114)*($AN$15:$AN$114&gt;=E63)*($AK$15:$AK$114=$U$2),0),2),""))</f>
        <v/>
      </c>
      <c r="F67" s="4" t="str">
        <f t="array" ref="F67">IF(OR(F66=1,F66=7),"",IFERROR(INDEX($AK$15:$AN$114,MATCH(1,(F63&gt;=$AM$15:$AM$114)*($AN$15:$AN$114&gt;=F63)*($AK$15:$AK$114=$U$2),0),2),""))</f>
        <v/>
      </c>
      <c r="G67" s="4" t="str">
        <f t="array" ref="G67">IF(OR(G66=1,G66=7),"",IFERROR(INDEX($AK$15:$AN$114,MATCH(1,(G63&gt;=$AM$15:$AM$114)*($AN$15:$AN$114&gt;=G63)*($AK$15:$AK$114=$U$2),0),2),""))</f>
        <v/>
      </c>
      <c r="H67" s="4" t="str">
        <f t="array" ref="H67">IF(OR(H66=1,H66=7),"",IFERROR(INDEX($AK$15:$AN$114,MATCH(1,(H63&gt;=$AM$15:$AM$114)*($AN$15:$AN$114&gt;=H63)*($AK$15:$AK$114=$U$2),0),2),""))</f>
        <v/>
      </c>
      <c r="I67" s="4" t="str">
        <f t="array" ref="I67">IF(OR(I66=1,I66=7),"",IFERROR(INDEX($AK$15:$AN$114,MATCH(1,(I63&gt;=$AM$15:$AM$114)*($AN$15:$AN$114&gt;=I63)*($AK$15:$AK$114=$U$2),0),2),""))</f>
        <v/>
      </c>
      <c r="J67" s="4" t="str">
        <f t="array" ref="J67">IF(OR(J66=1,J66=7),"",IFERROR(INDEX($AK$15:$AN$114,MATCH(1,(J63&gt;=$AM$15:$AM$114)*($AN$15:$AN$114&gt;=J63)*($AK$15:$AK$114=$U$2),0),2),""))</f>
        <v/>
      </c>
      <c r="K67" s="4" t="str">
        <f t="array" ref="K67">IF(OR(K66=1,K66=7),"",IFERROR(INDEX($AK$15:$AN$114,MATCH(1,(K63&gt;=$AM$15:$AM$114)*($AN$15:$AN$114&gt;=K63)*($AK$15:$AK$114=$U$2),0),2),""))</f>
        <v/>
      </c>
      <c r="L67" s="4" t="str">
        <f t="array" ref="L67">IF(OR(L66=1,L66=7),"",IFERROR(INDEX($AK$15:$AN$114,MATCH(1,(L63&gt;=$AM$15:$AM$114)*($AN$15:$AN$114&gt;=L63)*($AK$15:$AK$114=$U$2),0),2),""))</f>
        <v/>
      </c>
      <c r="M67" s="4" t="str">
        <f t="array" ref="M67">IF(OR(M66=1,M66=7),"",IFERROR(INDEX($AK$15:$AN$114,MATCH(1,(M63&gt;=$AM$15:$AM$114)*($AN$15:$AN$114&gt;=M63)*($AK$15:$AK$114=$U$2),0),2),""))</f>
        <v/>
      </c>
      <c r="N67" s="4" t="str">
        <f t="array" ref="N67">IF(OR(N66=1,N66=7),"",IFERROR(INDEX($AK$15:$AN$114,MATCH(1,(N63&gt;=$AM$15:$AM$114)*($AN$15:$AN$114&gt;=N63)*($AK$15:$AK$114=$U$2),0),2),""))</f>
        <v/>
      </c>
      <c r="O67" s="4" t="str">
        <f t="array" ref="O67">IF(OR(O66=1,O66=7),"",IFERROR(INDEX($AK$15:$AN$114,MATCH(1,(O63&gt;=$AM$15:$AM$114)*($AN$15:$AN$114&gt;=O63)*($AK$15:$AK$114=$U$2),0),2),""))</f>
        <v/>
      </c>
      <c r="P67" s="4" t="str">
        <f t="array" ref="P67">IF(OR(P66=1,P66=7),"",IFERROR(INDEX($AK$15:$AN$114,MATCH(1,(P63&gt;=$AM$15:$AM$114)*($AN$15:$AN$114&gt;=P63)*($AK$15:$AK$114=$U$2),0),2),""))</f>
        <v/>
      </c>
      <c r="Q67" s="4" t="str">
        <f t="array" ref="Q67">IF(OR(Q66=1,Q66=7),"",IFERROR(INDEX($AK$15:$AN$114,MATCH(1,(Q63&gt;=$AM$15:$AM$114)*($AN$15:$AN$114&gt;=Q63)*($AK$15:$AK$114=$U$2),0),2),""))</f>
        <v/>
      </c>
      <c r="R67" s="4" t="str">
        <f t="array" ref="R67">IF(OR(R66=1,R66=7),"",IFERROR(INDEX($AK$15:$AN$114,MATCH(1,(R63&gt;=$AM$15:$AM$114)*($AN$15:$AN$114&gt;=R63)*($AK$15:$AK$114=$U$2),0),2),""))</f>
        <v/>
      </c>
      <c r="S67" s="4" t="str">
        <f t="array" ref="S67">IF(OR(S66=1,S66=7),"",IFERROR(INDEX($AK$15:$AN$114,MATCH(1,(S63&gt;=$AM$15:$AM$114)*($AN$15:$AN$114&gt;=S63)*($AK$15:$AK$114=$U$2),0),2),""))</f>
        <v/>
      </c>
      <c r="T67" s="4" t="str">
        <f t="array" ref="T67">IF(OR(T66=1,T66=7),"",IFERROR(INDEX($AK$15:$AN$114,MATCH(1,(T63&gt;=$AM$15:$AM$114)*($AN$15:$AN$114&gt;=T63)*($AK$15:$AK$114=$U$2),0),2),""))</f>
        <v/>
      </c>
      <c r="U67" s="4" t="str">
        <f t="array" ref="U67">IF(OR(U66=1,U66=7),"",IFERROR(INDEX($AK$15:$AN$114,MATCH(1,(U63&gt;=$AM$15:$AM$114)*($AN$15:$AN$114&gt;=U63)*($AK$15:$AK$114=$U$2),0),2),""))</f>
        <v/>
      </c>
      <c r="V67" s="4" t="str">
        <f t="array" ref="V67">IF(OR(V66=1,V66=7),"",IFERROR(INDEX($AK$15:$AN$114,MATCH(1,(V63&gt;=$AM$15:$AM$114)*($AN$15:$AN$114&gt;=V63)*($AK$15:$AK$114=$U$2),0),2),""))</f>
        <v/>
      </c>
      <c r="W67" s="4" t="str">
        <f t="array" ref="W67">IF(OR(W66=1,W66=7),"",IFERROR(INDEX($AK$15:$AN$114,MATCH(1,(W63&gt;=$AM$15:$AM$114)*($AN$15:$AN$114&gt;=W63)*($AK$15:$AK$114=$U$2),0),2),""))</f>
        <v/>
      </c>
      <c r="X67" s="4" t="str">
        <f t="array" ref="X67">IF(OR(X66=1,X66=7),"",IFERROR(INDEX($AK$15:$AN$114,MATCH(1,(X63&gt;=$AM$15:$AM$114)*($AN$15:$AN$114&gt;=X63)*($AK$15:$AK$114=$U$2),0),2),""))</f>
        <v/>
      </c>
      <c r="Y67" s="4" t="str">
        <f t="array" ref="Y67">IF(OR(Y66=1,Y66=7),"",IFERROR(INDEX($AK$15:$AN$114,MATCH(1,(Y63&gt;=$AM$15:$AM$114)*($AN$15:$AN$114&gt;=Y63)*($AK$15:$AK$114=$U$2),0),2),""))</f>
        <v/>
      </c>
      <c r="Z67" s="4" t="str">
        <f t="array" ref="Z67">IF(OR(Z66=1,Z66=7),"",IFERROR(INDEX($AK$15:$AN$114,MATCH(1,(Z63&gt;=$AM$15:$AM$114)*($AN$15:$AN$114&gt;=Z63)*($AK$15:$AK$114=$U$2),0),2),""))</f>
        <v/>
      </c>
      <c r="AA67" s="4" t="str">
        <f t="array" ref="AA67">IF(OR(AA66=1,AA66=7),"",IFERROR(INDEX($AK$15:$AN$114,MATCH(1,(AA63&gt;=$AM$15:$AM$114)*($AN$15:$AN$114&gt;=AA63)*($AK$15:$AK$114=$U$2),0),2),""))</f>
        <v/>
      </c>
      <c r="AB67" s="4" t="str">
        <f t="array" ref="AB67">IF(OR(AB66=1,AB66=7),"",IFERROR(INDEX($AK$15:$AN$114,MATCH(1,(AB63&gt;=$AM$15:$AM$114)*($AN$15:$AN$114&gt;=AB63)*($AK$15:$AK$114=$U$2),0),2),""))</f>
        <v/>
      </c>
      <c r="AC67" s="4" t="str">
        <f t="array" ref="AC67">IF(OR(AC66=1,AC66=7),"",IFERROR(INDEX($AK$15:$AN$114,MATCH(1,(AC63&gt;=$AM$15:$AM$114)*($AN$15:$AN$114&gt;=AC63)*($AK$15:$AK$114=$U$2),0),2),""))</f>
        <v/>
      </c>
      <c r="AD67" s="4" t="str">
        <f t="array" ref="AD67">IF(OR(AD66=1,AD66=7),"",IFERROR(INDEX($AK$15:$AN$114,MATCH(1,(AD63&gt;=$AM$15:$AM$114)*($AN$15:$AN$114&gt;=AD63)*($AK$15:$AK$114=$U$2),0),2),""))</f>
        <v/>
      </c>
      <c r="AE67" s="4" t="str">
        <f t="array" ref="AE67">IF(OR(AE66=1,AE66=7),"",IFERROR(INDEX($AK$15:$AN$114,MATCH(1,(AE63&gt;=$AM$15:$AM$114)*($AN$15:$AN$114&gt;=AE63)*($AK$15:$AK$114=$U$2),0),2),""))</f>
        <v/>
      </c>
      <c r="AF67" s="4" t="str">
        <f t="array" ref="AF67">IF(OR(AF66=1,AF66=7),"",IFERROR(INDEX($AK$15:$AN$114,MATCH(1,(AF63&gt;=$AM$15:$AM$114)*($AN$15:$AN$114&gt;=AF63)*($AK$15:$AK$114=$U$2),0),2),""))</f>
        <v/>
      </c>
      <c r="AG67" s="4" t="str">
        <f t="array" ref="AG67">IF(OR(AG66=1,AG66=7),"",IFERROR(INDEX($AK$15:$AN$114,MATCH(1,(AG63&gt;=$AM$15:$AM$114)*($AN$15:$AN$114&gt;=AG63)*($AK$15:$AK$114=$U$2),0),2),""))</f>
        <v/>
      </c>
      <c r="AH67" s="649">
        <f>COUNTIF(C67:AG67,AI67)</f>
        <v>0</v>
      </c>
      <c r="AI67" s="641" t="s">
        <v>362</v>
      </c>
      <c r="AJ67" s="13">
        <v>53</v>
      </c>
      <c r="AL67" s="23"/>
      <c r="AM67" s="31"/>
      <c r="AN67" s="31"/>
      <c r="AO67" s="635">
        <f>Absences26810[[#This Row],[debut]]</f>
        <v>0</v>
      </c>
    </row>
    <row r="68" spans="1:41" x14ac:dyDescent="0.25">
      <c r="A68" s="13"/>
      <c r="AH68" s="13"/>
      <c r="AJ68" s="13">
        <v>54</v>
      </c>
      <c r="AL68" s="23"/>
      <c r="AM68" s="31"/>
      <c r="AN68" s="31"/>
      <c r="AO68" s="635">
        <f>Absences26810[[#This Row],[debut]]</f>
        <v>0</v>
      </c>
    </row>
    <row r="69" spans="1:41" ht="23.25" x14ac:dyDescent="0.25">
      <c r="B69" s="13"/>
      <c r="C69" s="18"/>
      <c r="D69" s="616" t="s">
        <v>801</v>
      </c>
      <c r="E69" s="18"/>
      <c r="F69" s="18"/>
      <c r="G69" s="18"/>
      <c r="H69" s="18"/>
      <c r="I69" s="18"/>
      <c r="J69" s="18"/>
      <c r="K69" s="18"/>
      <c r="L69" s="18"/>
      <c r="M69" s="18"/>
      <c r="N69" s="18"/>
      <c r="O69" s="18"/>
      <c r="P69" s="18"/>
      <c r="Q69" s="18"/>
      <c r="R69" s="18"/>
      <c r="S69" s="18"/>
      <c r="T69" s="13"/>
      <c r="U69" s="13"/>
      <c r="V69" s="13"/>
      <c r="W69" s="13"/>
      <c r="X69" s="13"/>
      <c r="Y69" s="13"/>
      <c r="Z69" s="13"/>
      <c r="AA69" s="13"/>
      <c r="AB69" s="13"/>
      <c r="AC69" s="13"/>
      <c r="AD69" s="13"/>
      <c r="AE69" s="13"/>
      <c r="AF69" s="13"/>
      <c r="AG69" s="13"/>
      <c r="AH69" s="13"/>
      <c r="AI69" s="13"/>
      <c r="AJ69" s="13">
        <v>55</v>
      </c>
      <c r="AL69" s="23"/>
      <c r="AM69" s="31"/>
      <c r="AN69" s="31"/>
      <c r="AO69" s="635">
        <f>Absences26810[[#This Row],[debut]]</f>
        <v>0</v>
      </c>
    </row>
    <row r="70" spans="1:41" x14ac:dyDescent="0.25">
      <c r="B70" s="13"/>
      <c r="C70" s="18"/>
      <c r="D70" s="614" t="s">
        <v>815</v>
      </c>
      <c r="E70" s="614"/>
      <c r="F70" s="614"/>
      <c r="G70" s="614"/>
      <c r="H70" s="614"/>
      <c r="I70" s="614"/>
      <c r="J70" s="614"/>
      <c r="K70" s="614"/>
      <c r="L70" s="614"/>
      <c r="M70" s="614"/>
      <c r="N70" s="614"/>
      <c r="O70" s="614"/>
      <c r="P70" s="614"/>
      <c r="Q70" s="18"/>
      <c r="R70" s="18"/>
      <c r="S70" s="18"/>
      <c r="T70" s="13"/>
      <c r="U70" s="13"/>
      <c r="V70" s="13"/>
      <c r="W70" s="13"/>
      <c r="X70" s="13"/>
      <c r="Y70" s="13"/>
      <c r="Z70" s="13"/>
      <c r="AA70" s="13"/>
      <c r="AB70" s="13"/>
      <c r="AC70" s="13"/>
      <c r="AD70" s="13"/>
      <c r="AE70" s="13"/>
      <c r="AF70" s="13"/>
      <c r="AG70" s="13"/>
      <c r="AH70" s="13"/>
      <c r="AI70" s="13"/>
      <c r="AJ70" s="13">
        <v>56</v>
      </c>
      <c r="AL70" s="23"/>
      <c r="AM70" s="31"/>
      <c r="AN70" s="31"/>
      <c r="AO70" s="635">
        <f>Absences26810[[#This Row],[debut]]</f>
        <v>0</v>
      </c>
    </row>
    <row r="71" spans="1:41" x14ac:dyDescent="0.25">
      <c r="B71" s="13"/>
      <c r="D71" s="634" t="s">
        <v>814</v>
      </c>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57</v>
      </c>
      <c r="AL71" s="23"/>
      <c r="AM71" s="31"/>
      <c r="AN71" s="31"/>
      <c r="AO71" s="635">
        <f>Absences26810[[#This Row],[debut]]</f>
        <v>0</v>
      </c>
    </row>
    <row r="72" spans="1:41" x14ac:dyDescent="0.25">
      <c r="B72" s="13"/>
      <c r="C72" s="620" t="s">
        <v>184</v>
      </c>
      <c r="D72" s="617" t="s">
        <v>0</v>
      </c>
      <c r="E72" s="18" t="s">
        <v>816</v>
      </c>
      <c r="F72" s="18"/>
      <c r="G72" s="18"/>
      <c r="H72" s="18"/>
      <c r="I72" s="18"/>
      <c r="J72" s="18"/>
      <c r="K72" s="18"/>
      <c r="L72" s="18"/>
      <c r="M72" s="18"/>
      <c r="N72" s="18"/>
      <c r="O72" s="18"/>
      <c r="P72" s="18"/>
      <c r="Q72" s="18"/>
      <c r="R72" s="18"/>
      <c r="S72" s="18"/>
      <c r="T72" s="13"/>
      <c r="U72" s="13" t="s">
        <v>811</v>
      </c>
      <c r="V72" s="13"/>
      <c r="W72" s="13"/>
      <c r="X72" s="13"/>
      <c r="Y72" s="13"/>
      <c r="Z72" s="13"/>
      <c r="AA72" s="13"/>
      <c r="AB72" s="13"/>
      <c r="AC72" s="13"/>
      <c r="AD72" s="13"/>
      <c r="AE72" s="13"/>
      <c r="AF72" s="13"/>
      <c r="AG72" s="13"/>
      <c r="AH72" s="13"/>
      <c r="AI72" s="13"/>
      <c r="AJ72" s="13">
        <v>58</v>
      </c>
      <c r="AL72" s="23"/>
      <c r="AM72" s="31"/>
      <c r="AN72" s="31"/>
      <c r="AO72" s="635">
        <f>Absences26810[[#This Row],[debut]]</f>
        <v>0</v>
      </c>
    </row>
    <row r="73" spans="1:41" x14ac:dyDescent="0.25">
      <c r="B73" s="13"/>
      <c r="C73" s="620" t="s">
        <v>185</v>
      </c>
      <c r="D73" s="612" t="s">
        <v>3</v>
      </c>
      <c r="E73" s="18" t="s">
        <v>802</v>
      </c>
      <c r="F73" s="18"/>
      <c r="G73" s="18"/>
      <c r="H73" s="18"/>
      <c r="I73" s="18"/>
      <c r="J73" s="18"/>
      <c r="K73" s="18"/>
      <c r="L73" s="18"/>
      <c r="M73" s="18"/>
      <c r="N73" s="18"/>
      <c r="O73" s="18"/>
      <c r="P73" s="18"/>
      <c r="Q73" s="18"/>
      <c r="R73" s="18"/>
      <c r="S73" s="18"/>
      <c r="T73" s="13"/>
      <c r="U73" s="13" t="s">
        <v>787</v>
      </c>
      <c r="V73" s="13"/>
      <c r="W73" s="13"/>
      <c r="X73" s="13"/>
      <c r="Y73" s="13"/>
      <c r="Z73" s="13"/>
      <c r="AA73" s="13"/>
      <c r="AB73" s="13"/>
      <c r="AC73" s="13"/>
      <c r="AD73" s="13"/>
      <c r="AE73" s="13"/>
      <c r="AF73" s="13"/>
      <c r="AG73" s="13"/>
      <c r="AH73" s="13"/>
      <c r="AI73" s="13"/>
      <c r="AJ73" s="13">
        <v>59</v>
      </c>
      <c r="AL73" s="23"/>
      <c r="AM73" s="31"/>
      <c r="AN73" s="31"/>
      <c r="AO73" s="635">
        <f>Absences26810[[#This Row],[debut]]</f>
        <v>0</v>
      </c>
    </row>
    <row r="74" spans="1:41" x14ac:dyDescent="0.25">
      <c r="B74" s="13"/>
      <c r="C74" s="621"/>
      <c r="D74" s="18"/>
      <c r="E74" s="18" t="s">
        <v>805</v>
      </c>
      <c r="F74" s="18"/>
      <c r="G74" s="18"/>
      <c r="H74" s="18"/>
      <c r="I74" s="18"/>
      <c r="J74" s="18"/>
      <c r="K74" s="18"/>
      <c r="L74" s="18"/>
      <c r="M74" s="18"/>
      <c r="N74" s="93"/>
      <c r="O74" s="618"/>
      <c r="P74" s="18"/>
      <c r="Q74" s="18"/>
      <c r="R74" s="18"/>
      <c r="S74" s="18"/>
      <c r="T74" s="13"/>
      <c r="U74" s="13" t="s">
        <v>791</v>
      </c>
      <c r="V74" s="13"/>
      <c r="W74" s="13"/>
      <c r="X74" s="13"/>
      <c r="Y74" s="13"/>
      <c r="Z74" s="13"/>
      <c r="AA74" s="13"/>
      <c r="AB74" s="13"/>
      <c r="AC74" s="13"/>
      <c r="AD74" s="13"/>
      <c r="AE74" s="13"/>
      <c r="AF74" s="13"/>
      <c r="AG74" s="13"/>
      <c r="AH74" s="13"/>
      <c r="AI74" s="13"/>
      <c r="AJ74" s="13">
        <v>60</v>
      </c>
      <c r="AL74" s="23"/>
      <c r="AM74" s="31"/>
      <c r="AN74" s="31"/>
      <c r="AO74" s="635">
        <f>Absences26810[[#This Row],[debut]]</f>
        <v>0</v>
      </c>
    </row>
    <row r="75" spans="1:41" x14ac:dyDescent="0.25">
      <c r="B75" s="13"/>
      <c r="C75" s="620" t="s">
        <v>186</v>
      </c>
      <c r="D75" s="612" t="s">
        <v>1</v>
      </c>
      <c r="E75" s="626" t="s">
        <v>2</v>
      </c>
      <c r="F75" s="18" t="s">
        <v>828</v>
      </c>
      <c r="G75" s="18"/>
      <c r="H75" s="18"/>
      <c r="I75" s="18"/>
      <c r="J75" s="18"/>
      <c r="K75" s="18"/>
      <c r="L75" s="18"/>
      <c r="M75" s="18"/>
      <c r="N75" s="18"/>
      <c r="O75" s="18"/>
      <c r="P75" s="18"/>
      <c r="Q75" s="18"/>
      <c r="R75" s="18"/>
      <c r="S75" s="18"/>
      <c r="T75" s="13"/>
      <c r="U75" s="13" t="s">
        <v>788</v>
      </c>
      <c r="V75" s="13"/>
      <c r="W75" s="13"/>
      <c r="X75" s="13"/>
      <c r="Y75" s="13"/>
      <c r="Z75" s="13"/>
      <c r="AA75" s="13"/>
      <c r="AB75" s="13"/>
      <c r="AC75" s="13"/>
      <c r="AD75" s="13"/>
      <c r="AE75" s="13"/>
      <c r="AF75" s="13"/>
      <c r="AG75" s="13"/>
      <c r="AH75" s="13"/>
      <c r="AI75" s="13"/>
      <c r="AJ75" s="13">
        <v>61</v>
      </c>
      <c r="AL75" s="23"/>
      <c r="AM75" s="31"/>
      <c r="AN75" s="31"/>
      <c r="AO75" s="635">
        <f>Absences26810[[#This Row],[debut]]</f>
        <v>0</v>
      </c>
    </row>
    <row r="76" spans="1:41" x14ac:dyDescent="0.25">
      <c r="B76" s="13"/>
      <c r="C76" s="18"/>
      <c r="D76" s="613" t="s">
        <v>362</v>
      </c>
      <c r="E76" s="627" t="s">
        <v>803</v>
      </c>
      <c r="F76" s="18"/>
      <c r="G76" s="18"/>
      <c r="H76" s="18"/>
      <c r="I76" s="18"/>
      <c r="J76" s="18"/>
      <c r="K76" s="18"/>
      <c r="L76" s="18"/>
      <c r="M76" s="18"/>
      <c r="N76" s="18"/>
      <c r="O76" s="18"/>
      <c r="P76" s="18"/>
      <c r="Q76" s="18"/>
      <c r="R76" s="18"/>
      <c r="S76" s="18"/>
      <c r="T76" s="13"/>
      <c r="U76" s="13" t="s">
        <v>789</v>
      </c>
      <c r="V76" s="13"/>
      <c r="W76" s="13"/>
      <c r="X76" s="13"/>
      <c r="Y76" s="13"/>
      <c r="Z76" s="13"/>
      <c r="AA76" s="13"/>
      <c r="AB76" s="13"/>
      <c r="AC76" s="13"/>
      <c r="AD76" s="13"/>
      <c r="AE76" s="13"/>
      <c r="AF76" s="13"/>
      <c r="AG76" s="13"/>
      <c r="AH76" s="13"/>
      <c r="AI76" s="13"/>
      <c r="AJ76" s="13">
        <v>62</v>
      </c>
      <c r="AL76" s="23"/>
      <c r="AM76" s="31"/>
      <c r="AN76" s="31"/>
      <c r="AO76" s="635">
        <f>Absences26810[[#This Row],[debut]]</f>
        <v>0</v>
      </c>
    </row>
    <row r="77" spans="1:41" x14ac:dyDescent="0.25">
      <c r="B77" s="13"/>
      <c r="C77" s="18"/>
      <c r="D77" s="18"/>
      <c r="E77" s="18" t="s">
        <v>804</v>
      </c>
      <c r="F77" s="18"/>
      <c r="G77" s="18"/>
      <c r="H77" s="18"/>
      <c r="I77" s="18"/>
      <c r="J77" s="18"/>
      <c r="K77" s="18"/>
      <c r="L77" s="18"/>
      <c r="M77" s="18"/>
      <c r="N77" s="18"/>
      <c r="O77" s="18"/>
      <c r="P77" s="18"/>
      <c r="Q77" s="18"/>
      <c r="R77" s="18"/>
      <c r="S77" s="18"/>
      <c r="T77" s="13"/>
      <c r="U77" s="13" t="s">
        <v>790</v>
      </c>
      <c r="V77" s="13"/>
      <c r="W77" s="13"/>
      <c r="X77" s="13"/>
      <c r="Y77" s="13"/>
      <c r="Z77" s="13"/>
      <c r="AA77" s="13"/>
      <c r="AB77" s="13"/>
      <c r="AC77" s="13"/>
      <c r="AD77" s="13"/>
      <c r="AE77" s="13"/>
      <c r="AF77" s="13"/>
      <c r="AG77" s="13"/>
      <c r="AH77" s="13"/>
      <c r="AI77" s="13"/>
      <c r="AJ77" s="13">
        <v>63</v>
      </c>
      <c r="AL77" s="23"/>
      <c r="AM77" s="31"/>
      <c r="AN77" s="31"/>
      <c r="AO77" s="635">
        <f>Absences26810[[#This Row],[debut]]</f>
        <v>0</v>
      </c>
    </row>
    <row r="78" spans="1:41" x14ac:dyDescent="0.25">
      <c r="B78" s="13"/>
      <c r="C78" s="18"/>
      <c r="D78" s="18"/>
      <c r="E78" s="18"/>
      <c r="F78" s="18"/>
      <c r="G78" s="18"/>
      <c r="H78" s="18"/>
      <c r="I78" s="18"/>
      <c r="J78" s="18"/>
      <c r="K78" s="18"/>
      <c r="L78" s="18"/>
      <c r="M78" s="18"/>
      <c r="N78" s="18"/>
      <c r="O78" s="18"/>
      <c r="P78" s="18"/>
      <c r="Q78" s="18"/>
      <c r="R78" s="18"/>
      <c r="S78" s="18"/>
      <c r="T78" s="13"/>
      <c r="U78" s="13"/>
      <c r="V78" s="13"/>
      <c r="W78" s="13"/>
      <c r="X78" s="13"/>
      <c r="Y78" s="13"/>
      <c r="Z78" s="13"/>
      <c r="AA78" s="13"/>
      <c r="AB78" s="13"/>
      <c r="AC78" s="13"/>
      <c r="AD78" s="13"/>
      <c r="AE78" s="13"/>
      <c r="AF78" s="13"/>
      <c r="AG78" s="13"/>
      <c r="AH78" s="13"/>
      <c r="AI78" s="13"/>
      <c r="AJ78" s="13">
        <v>64</v>
      </c>
      <c r="AL78" s="23"/>
      <c r="AM78" s="31"/>
      <c r="AN78" s="31"/>
      <c r="AO78" s="635">
        <f>Absences26810[[#This Row],[debut]]</f>
        <v>0</v>
      </c>
    </row>
    <row r="79" spans="1:41" ht="21" x14ac:dyDescent="0.25">
      <c r="B79" s="13"/>
      <c r="C79" s="622" t="s">
        <v>187</v>
      </c>
      <c r="D79" s="624" t="s">
        <v>808</v>
      </c>
      <c r="E79" s="18"/>
      <c r="F79" s="18"/>
      <c r="G79" s="18"/>
      <c r="H79" s="18"/>
      <c r="I79" s="18"/>
      <c r="J79" s="18"/>
      <c r="K79" s="18"/>
      <c r="L79" s="18"/>
      <c r="M79" s="18"/>
      <c r="N79" s="18"/>
      <c r="O79" s="18"/>
      <c r="P79" s="18"/>
      <c r="Q79" s="18"/>
      <c r="R79" s="18"/>
      <c r="S79" s="18"/>
      <c r="T79" s="13"/>
      <c r="U79" s="13"/>
      <c r="V79" s="13"/>
      <c r="W79" s="13"/>
      <c r="X79" s="13"/>
      <c r="Y79" s="13"/>
      <c r="Z79" s="13"/>
      <c r="AA79" s="13"/>
      <c r="AB79" s="13"/>
      <c r="AC79" s="13"/>
      <c r="AD79" s="13"/>
      <c r="AE79" s="13"/>
      <c r="AF79" s="13"/>
      <c r="AG79" s="13"/>
      <c r="AH79" s="13"/>
      <c r="AI79" s="13"/>
      <c r="AJ79" s="13">
        <v>65</v>
      </c>
      <c r="AL79" s="23"/>
      <c r="AM79" s="31"/>
      <c r="AN79" s="31"/>
      <c r="AO79" s="635">
        <f>Absences26810[[#This Row],[debut]]</f>
        <v>0</v>
      </c>
    </row>
    <row r="80" spans="1:41" x14ac:dyDescent="0.25">
      <c r="B80" s="13"/>
      <c r="C80" s="18"/>
      <c r="D80" s="615">
        <v>2020</v>
      </c>
      <c r="E80" s="18" t="s">
        <v>806</v>
      </c>
      <c r="F80" s="18"/>
      <c r="G80" s="18"/>
      <c r="H80" s="18"/>
      <c r="I80" s="18"/>
      <c r="J80" s="18"/>
      <c r="K80" s="18"/>
      <c r="L80" s="18"/>
      <c r="M80" s="18"/>
      <c r="N80" s="18"/>
      <c r="O80" s="18"/>
      <c r="P80" s="18"/>
      <c r="Q80" s="18"/>
      <c r="R80" s="18"/>
      <c r="S80" s="18"/>
      <c r="T80" s="13"/>
      <c r="U80" s="13"/>
      <c r="V80" s="13"/>
      <c r="W80" s="13"/>
      <c r="X80" s="13"/>
      <c r="Y80" s="13"/>
      <c r="Z80" s="13"/>
      <c r="AA80" s="13"/>
      <c r="AB80" s="13"/>
      <c r="AC80" s="13"/>
      <c r="AD80" s="13"/>
      <c r="AE80" s="13"/>
      <c r="AF80" s="13"/>
      <c r="AG80" s="13"/>
      <c r="AH80" s="13"/>
      <c r="AI80" s="13"/>
      <c r="AJ80" s="13">
        <v>66</v>
      </c>
      <c r="AL80" s="23"/>
      <c r="AM80" s="31"/>
      <c r="AN80" s="31"/>
      <c r="AO80" s="635">
        <f>Absences26810[[#This Row],[debut]]</f>
        <v>0</v>
      </c>
    </row>
    <row r="81" spans="2:41" x14ac:dyDescent="0.25">
      <c r="B81" s="13"/>
      <c r="C81" s="18"/>
      <c r="D81" s="1474" t="s">
        <v>5</v>
      </c>
      <c r="E81" s="1474"/>
      <c r="F81" s="18" t="s">
        <v>807</v>
      </c>
      <c r="G81" s="18"/>
      <c r="H81" s="18"/>
      <c r="I81" s="18"/>
      <c r="J81" s="18"/>
      <c r="K81" s="18"/>
      <c r="L81" s="18"/>
      <c r="M81" s="18"/>
      <c r="N81" s="18"/>
      <c r="O81" s="18"/>
      <c r="P81" s="18"/>
      <c r="Q81" s="18"/>
      <c r="R81" s="18"/>
      <c r="S81" s="18"/>
      <c r="T81" s="13"/>
      <c r="U81" s="13"/>
      <c r="V81" s="13"/>
      <c r="W81" s="13"/>
      <c r="X81" s="13"/>
      <c r="Y81" s="13"/>
      <c r="Z81" s="13"/>
      <c r="AA81" s="13"/>
      <c r="AB81" s="13"/>
      <c r="AC81" s="13"/>
      <c r="AD81" s="13"/>
      <c r="AE81" s="13"/>
      <c r="AF81" s="13"/>
      <c r="AG81" s="13"/>
      <c r="AH81" s="13"/>
      <c r="AI81" s="13"/>
      <c r="AJ81" s="13">
        <v>67</v>
      </c>
      <c r="AL81" s="23"/>
      <c r="AM81" s="31"/>
      <c r="AN81" s="31"/>
      <c r="AO81" s="635">
        <f>Absences26810[[#This Row],[debut]]</f>
        <v>0</v>
      </c>
    </row>
    <row r="82" spans="2:41" ht="18.75" x14ac:dyDescent="0.25">
      <c r="B82" s="13"/>
      <c r="C82" s="18"/>
      <c r="D82" s="1475" t="s">
        <v>36</v>
      </c>
      <c r="E82" s="1475"/>
      <c r="F82" s="18" t="s">
        <v>824</v>
      </c>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13"/>
      <c r="AI82" s="13"/>
      <c r="AJ82" s="13">
        <v>68</v>
      </c>
      <c r="AL82" s="23"/>
      <c r="AM82" s="31"/>
      <c r="AN82" s="31"/>
      <c r="AO82" s="635">
        <f>Absences26810[[#This Row],[debut]]</f>
        <v>0</v>
      </c>
    </row>
    <row r="83" spans="2:41" ht="21" x14ac:dyDescent="0.25">
      <c r="B83" s="13"/>
      <c r="C83" s="18"/>
      <c r="D83" s="625" t="s">
        <v>810</v>
      </c>
      <c r="E83" s="18"/>
      <c r="F83" s="18"/>
      <c r="G83" s="18"/>
      <c r="H83" s="18"/>
      <c r="I83" s="18"/>
      <c r="J83" s="18"/>
      <c r="K83" s="18"/>
      <c r="L83" s="18"/>
      <c r="M83" s="18"/>
      <c r="N83" s="18"/>
      <c r="O83" s="18"/>
      <c r="P83" s="18"/>
      <c r="Q83" s="18"/>
      <c r="R83" s="18"/>
      <c r="S83" s="18"/>
      <c r="T83" s="13"/>
      <c r="U83" s="13"/>
      <c r="V83" s="13"/>
      <c r="W83" s="13"/>
      <c r="X83" s="13"/>
      <c r="Y83" s="13"/>
      <c r="Z83" s="13"/>
      <c r="AA83" s="13"/>
      <c r="AB83" s="13"/>
      <c r="AC83" s="13"/>
      <c r="AD83" s="13"/>
      <c r="AE83" s="13"/>
      <c r="AF83" s="13"/>
      <c r="AG83" s="13"/>
      <c r="AH83" s="13"/>
      <c r="AI83" s="13"/>
      <c r="AJ83" s="13">
        <v>69</v>
      </c>
      <c r="AL83" s="23"/>
      <c r="AM83" s="31"/>
      <c r="AN83" s="31"/>
      <c r="AO83" s="635">
        <f>Absences26810[[#This Row],[debut]]</f>
        <v>0</v>
      </c>
    </row>
    <row r="84" spans="2:41" x14ac:dyDescent="0.25">
      <c r="B84" s="13"/>
      <c r="C84" s="13" t="s">
        <v>135</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70</v>
      </c>
      <c r="AL84" s="23"/>
      <c r="AM84" s="31"/>
      <c r="AN84" s="31"/>
      <c r="AO84" s="635">
        <f>Absences26810[[#This Row],[debut]]</f>
        <v>0</v>
      </c>
    </row>
    <row r="85" spans="2:41" x14ac:dyDescent="0.25">
      <c r="B85" s="13"/>
      <c r="C85" s="13" t="s">
        <v>136</v>
      </c>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v>71</v>
      </c>
      <c r="AL85" s="23"/>
      <c r="AM85" s="31"/>
      <c r="AN85" s="31"/>
      <c r="AO85" s="635">
        <f>Absences26810[[#This Row],[debut]]</f>
        <v>0</v>
      </c>
    </row>
    <row r="86" spans="2:41" x14ac:dyDescent="0.25">
      <c r="B86" s="13"/>
      <c r="C86" s="13"/>
      <c r="D86" s="13" t="s">
        <v>36</v>
      </c>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72</v>
      </c>
      <c r="AL86" s="23"/>
      <c r="AM86" s="31"/>
      <c r="AN86" s="31"/>
      <c r="AO86" s="635">
        <f>Absences26810[[#This Row],[debut]]</f>
        <v>0</v>
      </c>
    </row>
    <row r="87" spans="2:41" x14ac:dyDescent="0.25">
      <c r="B87" s="13"/>
      <c r="C87" s="13"/>
      <c r="D87" s="13" t="s">
        <v>137</v>
      </c>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73</v>
      </c>
      <c r="AL87" s="23"/>
      <c r="AM87" s="31"/>
      <c r="AN87" s="31"/>
      <c r="AO87" s="635">
        <f>Absences26810[[#This Row],[debut]]</f>
        <v>0</v>
      </c>
    </row>
    <row r="88" spans="2:41" x14ac:dyDescent="0.25">
      <c r="B88" s="13"/>
      <c r="C88" s="13"/>
      <c r="D88" s="13" t="s">
        <v>138</v>
      </c>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74</v>
      </c>
      <c r="AL88" s="23"/>
      <c r="AM88" s="31"/>
      <c r="AN88" s="31"/>
      <c r="AO88" s="635">
        <f>Absences26810[[#This Row],[debut]]</f>
        <v>0</v>
      </c>
    </row>
    <row r="89" spans="2:41" x14ac:dyDescent="0.25">
      <c r="B89" s="13"/>
      <c r="C89" s="13"/>
      <c r="D89" s="45" t="s">
        <v>812</v>
      </c>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75</v>
      </c>
      <c r="AL89" s="23"/>
      <c r="AM89" s="31"/>
      <c r="AN89" s="31"/>
      <c r="AO89" s="635">
        <f>Absences26810[[#This Row],[debut]]</f>
        <v>0</v>
      </c>
    </row>
    <row r="90" spans="2:41" x14ac:dyDescent="0.25">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v>76</v>
      </c>
      <c r="AL90" s="23"/>
      <c r="AM90" s="31"/>
      <c r="AN90" s="31"/>
      <c r="AO90" s="635">
        <f>Absences26810[[#This Row],[debut]]</f>
        <v>0</v>
      </c>
    </row>
    <row r="91" spans="2:41" ht="21" x14ac:dyDescent="0.25">
      <c r="B91" s="13"/>
      <c r="C91" s="13"/>
      <c r="D91" s="625" t="s">
        <v>825</v>
      </c>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77</v>
      </c>
      <c r="AL91" s="23"/>
      <c r="AM91" s="31"/>
      <c r="AN91" s="31"/>
      <c r="AO91" s="635">
        <f>Absences26810[[#This Row],[debut]]</f>
        <v>0</v>
      </c>
    </row>
    <row r="92" spans="2:41" x14ac:dyDescent="0.25">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78</v>
      </c>
      <c r="AL92" s="23"/>
      <c r="AM92" s="31"/>
      <c r="AN92" s="31"/>
      <c r="AO92" s="635">
        <f>Absences26810[[#This Row],[debut]]</f>
        <v>0</v>
      </c>
    </row>
    <row r="93" spans="2:41" x14ac:dyDescent="0.25">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79</v>
      </c>
      <c r="AL93" s="23"/>
      <c r="AM93" s="31"/>
      <c r="AN93" s="31"/>
      <c r="AO93" s="635">
        <f>Absences26810[[#This Row],[debut]]</f>
        <v>0</v>
      </c>
    </row>
    <row r="94" spans="2:41" x14ac:dyDescent="0.25">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80</v>
      </c>
      <c r="AL94" s="23"/>
      <c r="AM94" s="31"/>
      <c r="AN94" s="31"/>
      <c r="AO94" s="635">
        <f>Absences26810[[#This Row],[debut]]</f>
        <v>0</v>
      </c>
    </row>
    <row r="95" spans="2:41" x14ac:dyDescent="0.25">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v>81</v>
      </c>
      <c r="AL95" s="23"/>
      <c r="AM95" s="31"/>
      <c r="AN95" s="31"/>
      <c r="AO95" s="635">
        <f>Absences26810[[#This Row],[debut]]</f>
        <v>0</v>
      </c>
    </row>
    <row r="96" spans="2:41" x14ac:dyDescent="0.25">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82</v>
      </c>
      <c r="AL96" s="23"/>
      <c r="AM96" s="31"/>
      <c r="AN96" s="31"/>
      <c r="AO96" s="635">
        <f>Absences26810[[#This Row],[debut]]</f>
        <v>0</v>
      </c>
    </row>
    <row r="97" spans="2:41" x14ac:dyDescent="0.25">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83</v>
      </c>
      <c r="AL97" s="23"/>
      <c r="AM97" s="31"/>
      <c r="AN97" s="31"/>
      <c r="AO97" s="635">
        <f>Absences26810[[#This Row],[debut]]</f>
        <v>0</v>
      </c>
    </row>
    <row r="98" spans="2:41" x14ac:dyDescent="0.25">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84</v>
      </c>
      <c r="AL98" s="23"/>
      <c r="AM98" s="31"/>
      <c r="AN98" s="31"/>
      <c r="AO98" s="635">
        <f>Absences26810[[#This Row],[debut]]</f>
        <v>0</v>
      </c>
    </row>
    <row r="99" spans="2:41" x14ac:dyDescent="0.25">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85</v>
      </c>
      <c r="AL99" s="23"/>
      <c r="AM99" s="31"/>
      <c r="AN99" s="31"/>
      <c r="AO99" s="635">
        <f>Absences26810[[#This Row],[debut]]</f>
        <v>0</v>
      </c>
    </row>
    <row r="100" spans="2:41" x14ac:dyDescent="0.25">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v>86</v>
      </c>
      <c r="AL100" s="23"/>
      <c r="AM100" s="31"/>
      <c r="AN100" s="31"/>
      <c r="AO100" s="635">
        <f>Absences26810[[#This Row],[debut]]</f>
        <v>0</v>
      </c>
    </row>
    <row r="101" spans="2:41" x14ac:dyDescent="0.25">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87</v>
      </c>
      <c r="AL101" s="23"/>
      <c r="AM101" s="31"/>
      <c r="AN101" s="31"/>
      <c r="AO101" s="635">
        <f>Absences26810[[#This Row],[debut]]</f>
        <v>0</v>
      </c>
    </row>
    <row r="102" spans="2:41" x14ac:dyDescent="0.25">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88</v>
      </c>
      <c r="AL102" s="23"/>
      <c r="AM102" s="31"/>
      <c r="AN102" s="31"/>
      <c r="AO102" s="635">
        <f>Absences26810[[#This Row],[debut]]</f>
        <v>0</v>
      </c>
    </row>
    <row r="103" spans="2:41" x14ac:dyDescent="0.25">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89</v>
      </c>
      <c r="AL103" s="23"/>
      <c r="AM103" s="31"/>
      <c r="AN103" s="31"/>
      <c r="AO103" s="635">
        <f>Absences26810[[#This Row],[debut]]</f>
        <v>0</v>
      </c>
    </row>
    <row r="104" spans="2:41" x14ac:dyDescent="0.25">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90</v>
      </c>
      <c r="AL104" s="23"/>
      <c r="AM104" s="31"/>
      <c r="AN104" s="31"/>
      <c r="AO104" s="635">
        <f>Absences26810[[#This Row],[debut]]</f>
        <v>0</v>
      </c>
    </row>
    <row r="105" spans="2:41" x14ac:dyDescent="0.25">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v>91</v>
      </c>
      <c r="AL105" s="23"/>
      <c r="AM105" s="31"/>
      <c r="AN105" s="31"/>
      <c r="AO105" s="635">
        <f>Absences26810[[#This Row],[debut]]</f>
        <v>0</v>
      </c>
    </row>
    <row r="106" spans="2:41" ht="21" x14ac:dyDescent="0.25">
      <c r="B106" s="13"/>
      <c r="C106" s="13"/>
      <c r="D106" s="13"/>
      <c r="E106" s="625" t="s">
        <v>1046</v>
      </c>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92</v>
      </c>
      <c r="AL106" s="23"/>
      <c r="AM106" s="31"/>
      <c r="AN106" s="31"/>
      <c r="AO106" s="635">
        <f>Absences26810[[#This Row],[debut]]</f>
        <v>0</v>
      </c>
    </row>
    <row r="107" spans="2:41" x14ac:dyDescent="0.25">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93</v>
      </c>
      <c r="AL107" s="23"/>
      <c r="AM107" s="31"/>
      <c r="AN107" s="31"/>
      <c r="AO107" s="635">
        <f>Absences26810[[#This Row],[debut]]</f>
        <v>0</v>
      </c>
    </row>
    <row r="108" spans="2:41" x14ac:dyDescent="0.25">
      <c r="B108" s="13"/>
      <c r="AJ108" s="13">
        <v>94</v>
      </c>
      <c r="AL108" s="23"/>
      <c r="AM108" s="31"/>
      <c r="AN108" s="31"/>
      <c r="AO108" s="635">
        <f>Absences26810[[#This Row],[debut]]</f>
        <v>0</v>
      </c>
    </row>
    <row r="109" spans="2:41" x14ac:dyDescent="0.25">
      <c r="AJ109" s="13">
        <v>95</v>
      </c>
      <c r="AL109" s="23"/>
      <c r="AM109" s="31"/>
      <c r="AN109" s="31"/>
      <c r="AO109" s="635">
        <f>Absences26810[[#This Row],[debut]]</f>
        <v>0</v>
      </c>
    </row>
    <row r="110" spans="2:41" x14ac:dyDescent="0.25">
      <c r="AJ110" s="13">
        <v>96</v>
      </c>
      <c r="AL110" s="23"/>
      <c r="AM110" s="31"/>
      <c r="AN110" s="31"/>
      <c r="AO110" s="635">
        <f>Absences26810[[#This Row],[debut]]</f>
        <v>0</v>
      </c>
    </row>
    <row r="111" spans="2:41" x14ac:dyDescent="0.25">
      <c r="AJ111" s="13">
        <v>97</v>
      </c>
      <c r="AL111" s="23"/>
      <c r="AM111" s="31"/>
      <c r="AN111" s="31"/>
      <c r="AO111" s="635">
        <f>Absences26810[[#This Row],[debut]]</f>
        <v>0</v>
      </c>
    </row>
    <row r="112" spans="2:41" x14ac:dyDescent="0.25">
      <c r="AJ112" s="13">
        <v>98</v>
      </c>
      <c r="AL112" s="23"/>
      <c r="AM112" s="31"/>
      <c r="AN112" s="31"/>
      <c r="AO112" s="635">
        <f>Absences26810[[#This Row],[debut]]</f>
        <v>0</v>
      </c>
    </row>
    <row r="113" spans="36:41" x14ac:dyDescent="0.25">
      <c r="AJ113" s="13">
        <v>99</v>
      </c>
      <c r="AL113" s="23"/>
      <c r="AM113" s="31"/>
      <c r="AN113" s="31"/>
      <c r="AO113" s="635">
        <f>Absences26810[[#This Row],[debut]]</f>
        <v>0</v>
      </c>
    </row>
    <row r="114" spans="36:41" x14ac:dyDescent="0.25">
      <c r="AJ114" s="13">
        <v>100</v>
      </c>
      <c r="AL114" s="23"/>
      <c r="AM114" s="31"/>
      <c r="AN114" s="31"/>
      <c r="AO114" s="635">
        <f>Absences26810[[#This Row],[debut]]</f>
        <v>0</v>
      </c>
    </row>
  </sheetData>
  <mergeCells count="27">
    <mergeCell ref="BZ2:CE3"/>
    <mergeCell ref="BZ4:CB4"/>
    <mergeCell ref="CD4:CE4"/>
    <mergeCell ref="CD5:CE5"/>
    <mergeCell ref="BZ20:CB20"/>
    <mergeCell ref="AO9:AO11"/>
    <mergeCell ref="A1:AI1"/>
    <mergeCell ref="C2:G3"/>
    <mergeCell ref="I4:Q6"/>
    <mergeCell ref="I2:Q3"/>
    <mergeCell ref="U2:AG3"/>
    <mergeCell ref="C9:AG9"/>
    <mergeCell ref="AQ13:AR13"/>
    <mergeCell ref="AK13:AO13"/>
    <mergeCell ref="D81:E81"/>
    <mergeCell ref="D82:E82"/>
    <mergeCell ref="C49:AG49"/>
    <mergeCell ref="C54:AG54"/>
    <mergeCell ref="C59:AG59"/>
    <mergeCell ref="C64:AG64"/>
    <mergeCell ref="C44:AG44"/>
    <mergeCell ref="C14:AG14"/>
    <mergeCell ref="C19:AG19"/>
    <mergeCell ref="C24:AG24"/>
    <mergeCell ref="C29:AG29"/>
    <mergeCell ref="C34:AG34"/>
    <mergeCell ref="C39:AG39"/>
  </mergeCells>
  <conditionalFormatting sqref="C10:AG12">
    <cfRule type="expression" dxfId="927" priority="521">
      <formula>OR(C$11=1,C$11=7)</formula>
    </cfRule>
  </conditionalFormatting>
  <conditionalFormatting sqref="C12:AG12">
    <cfRule type="cellIs" dxfId="926" priority="517" operator="equal">
      <formula>"C"</formula>
    </cfRule>
    <cfRule type="cellIs" dxfId="925" priority="518" operator="equal">
      <formula>"M"</formula>
    </cfRule>
    <cfRule type="cellIs" dxfId="924" priority="519" operator="equal">
      <formula>"RTT"</formula>
    </cfRule>
    <cfRule type="cellIs" dxfId="923" priority="520" operator="equal">
      <formula>"C"</formula>
    </cfRule>
  </conditionalFormatting>
  <conditionalFormatting sqref="C15:AG17">
    <cfRule type="expression" dxfId="922" priority="496">
      <formula>OR(C$16=1,C$16=7)</formula>
    </cfRule>
  </conditionalFormatting>
  <conditionalFormatting sqref="C17:AG17">
    <cfRule type="cellIs" dxfId="921" priority="492" operator="equal">
      <formula>"C"</formula>
    </cfRule>
    <cfRule type="cellIs" dxfId="920" priority="493" operator="equal">
      <formula>"M"</formula>
    </cfRule>
    <cfRule type="cellIs" dxfId="919" priority="494" operator="equal">
      <formula>"RTT"</formula>
    </cfRule>
    <cfRule type="cellIs" dxfId="918" priority="495" operator="equal">
      <formula>"C"</formula>
    </cfRule>
  </conditionalFormatting>
  <conditionalFormatting sqref="C20:AG22">
    <cfRule type="expression" dxfId="917" priority="471">
      <formula>OR(C$21=1,C$21=7)</formula>
    </cfRule>
  </conditionalFormatting>
  <conditionalFormatting sqref="C22:AG22">
    <cfRule type="cellIs" dxfId="916" priority="467" operator="equal">
      <formula>"C"</formula>
    </cfRule>
    <cfRule type="cellIs" dxfId="915" priority="468" operator="equal">
      <formula>"M"</formula>
    </cfRule>
    <cfRule type="cellIs" dxfId="914" priority="469" operator="equal">
      <formula>"RTT"</formula>
    </cfRule>
    <cfRule type="cellIs" dxfId="913" priority="470" operator="equal">
      <formula>"C"</formula>
    </cfRule>
  </conditionalFormatting>
  <conditionalFormatting sqref="C25:AG27">
    <cfRule type="expression" dxfId="912" priority="446">
      <formula>OR(C$26=1,C$26=7)</formula>
    </cfRule>
  </conditionalFormatting>
  <conditionalFormatting sqref="C27:AG27">
    <cfRule type="cellIs" dxfId="911" priority="442" operator="equal">
      <formula>"C"</formula>
    </cfRule>
    <cfRule type="cellIs" dxfId="910" priority="443" operator="equal">
      <formula>"M"</formula>
    </cfRule>
    <cfRule type="cellIs" dxfId="909" priority="444" operator="equal">
      <formula>"RTT"</formula>
    </cfRule>
    <cfRule type="cellIs" dxfId="908" priority="445" operator="equal">
      <formula>"C"</formula>
    </cfRule>
  </conditionalFormatting>
  <conditionalFormatting sqref="C30:AG32">
    <cfRule type="expression" dxfId="907" priority="421">
      <formula>OR(C$31=1,C$31=7)</formula>
    </cfRule>
  </conditionalFormatting>
  <conditionalFormatting sqref="C32:AG32">
    <cfRule type="cellIs" dxfId="906" priority="417" operator="equal">
      <formula>"C"</formula>
    </cfRule>
    <cfRule type="cellIs" dxfId="905" priority="418" operator="equal">
      <formula>"M"</formula>
    </cfRule>
    <cfRule type="cellIs" dxfId="904" priority="419" operator="equal">
      <formula>"RTT"</formula>
    </cfRule>
    <cfRule type="cellIs" dxfId="903" priority="420" operator="equal">
      <formula>"C"</formula>
    </cfRule>
  </conditionalFormatting>
  <conditionalFormatting sqref="C35:AG37">
    <cfRule type="expression" dxfId="902" priority="396">
      <formula>OR(C$36=1,C$36=7)</formula>
    </cfRule>
  </conditionalFormatting>
  <conditionalFormatting sqref="C37:AG37">
    <cfRule type="cellIs" dxfId="901" priority="392" operator="equal">
      <formula>"C"</formula>
    </cfRule>
    <cfRule type="cellIs" dxfId="900" priority="393" operator="equal">
      <formula>"M"</formula>
    </cfRule>
    <cfRule type="cellIs" dxfId="899" priority="394" operator="equal">
      <formula>"RTT"</formula>
    </cfRule>
    <cfRule type="cellIs" dxfId="898" priority="395" operator="equal">
      <formula>"C"</formula>
    </cfRule>
  </conditionalFormatting>
  <conditionalFormatting sqref="C40:AG42">
    <cfRule type="expression" dxfId="897" priority="371">
      <formula>OR(C$41=1,C$41=7)</formula>
    </cfRule>
  </conditionalFormatting>
  <conditionalFormatting sqref="C42:AG42">
    <cfRule type="cellIs" dxfId="896" priority="367" operator="equal">
      <formula>"C"</formula>
    </cfRule>
    <cfRule type="cellIs" dxfId="895" priority="368" operator="equal">
      <formula>"M"</formula>
    </cfRule>
    <cfRule type="cellIs" dxfId="894" priority="369" operator="equal">
      <formula>"RTT"</formula>
    </cfRule>
    <cfRule type="cellIs" dxfId="893" priority="370" operator="equal">
      <formula>"C"</formula>
    </cfRule>
  </conditionalFormatting>
  <conditionalFormatting sqref="C45:AG47">
    <cfRule type="expression" dxfId="892" priority="346">
      <formula>OR(C$46=1,C$46=7)</formula>
    </cfRule>
  </conditionalFormatting>
  <conditionalFormatting sqref="C47:AG47">
    <cfRule type="cellIs" dxfId="891" priority="342" operator="equal">
      <formula>"C"</formula>
    </cfRule>
    <cfRule type="cellIs" dxfId="890" priority="343" operator="equal">
      <formula>"M"</formula>
    </cfRule>
    <cfRule type="cellIs" dxfId="889" priority="344" operator="equal">
      <formula>"RTT"</formula>
    </cfRule>
    <cfRule type="cellIs" dxfId="888" priority="345" operator="equal">
      <formula>"C"</formula>
    </cfRule>
  </conditionalFormatting>
  <conditionalFormatting sqref="C50:AG52">
    <cfRule type="expression" dxfId="887" priority="321">
      <formula>OR(C$51=1,C$51=7)</formula>
    </cfRule>
  </conditionalFormatting>
  <conditionalFormatting sqref="C52:AG52">
    <cfRule type="cellIs" dxfId="886" priority="317" operator="equal">
      <formula>"C"</formula>
    </cfRule>
    <cfRule type="cellIs" dxfId="885" priority="318" operator="equal">
      <formula>"M"</formula>
    </cfRule>
    <cfRule type="cellIs" dxfId="884" priority="319" operator="equal">
      <formula>"RTT"</formula>
    </cfRule>
    <cfRule type="cellIs" dxfId="883" priority="320" operator="equal">
      <formula>"C"</formula>
    </cfRule>
  </conditionalFormatting>
  <conditionalFormatting sqref="C55:AG57">
    <cfRule type="expression" dxfId="882" priority="296">
      <formula>OR(C$56=1,C$56=7)</formula>
    </cfRule>
  </conditionalFormatting>
  <conditionalFormatting sqref="C57:AG57">
    <cfRule type="cellIs" dxfId="881" priority="292" operator="equal">
      <formula>"C"</formula>
    </cfRule>
    <cfRule type="cellIs" dxfId="880" priority="293" operator="equal">
      <formula>"M"</formula>
    </cfRule>
    <cfRule type="cellIs" dxfId="879" priority="294" operator="equal">
      <formula>"RTT"</formula>
    </cfRule>
    <cfRule type="cellIs" dxfId="878" priority="295" operator="equal">
      <formula>"C"</formula>
    </cfRule>
  </conditionalFormatting>
  <conditionalFormatting sqref="C60:AG62">
    <cfRule type="expression" dxfId="877" priority="271">
      <formula>OR(C$61=1,C$61=7)</formula>
    </cfRule>
  </conditionalFormatting>
  <conditionalFormatting sqref="C62:AG62">
    <cfRule type="cellIs" dxfId="876" priority="267" operator="equal">
      <formula>"C"</formula>
    </cfRule>
    <cfRule type="cellIs" dxfId="875" priority="268" operator="equal">
      <formula>"M"</formula>
    </cfRule>
    <cfRule type="cellIs" dxfId="874" priority="269" operator="equal">
      <formula>"RTT"</formula>
    </cfRule>
    <cfRule type="cellIs" dxfId="873" priority="270" operator="equal">
      <formula>"C"</formula>
    </cfRule>
  </conditionalFormatting>
  <conditionalFormatting sqref="C65:AG67">
    <cfRule type="expression" dxfId="872" priority="246">
      <formula>OR(C$66=1,C$66=7)</formula>
    </cfRule>
  </conditionalFormatting>
  <conditionalFormatting sqref="C67:AG67">
    <cfRule type="cellIs" dxfId="871" priority="242" operator="equal">
      <formula>"C"</formula>
    </cfRule>
    <cfRule type="cellIs" dxfId="870" priority="243" operator="equal">
      <formula>"M"</formula>
    </cfRule>
    <cfRule type="cellIs" dxfId="869" priority="244" operator="equal">
      <formula>"RTT"</formula>
    </cfRule>
    <cfRule type="cellIs" dxfId="868" priority="245" operator="equal">
      <formula>"C"</formula>
    </cfRule>
  </conditionalFormatting>
  <conditionalFormatting sqref="AL17">
    <cfRule type="cellIs" dxfId="867" priority="137" operator="equal">
      <formula>"C"</formula>
    </cfRule>
    <cfRule type="cellIs" dxfId="866" priority="138" operator="equal">
      <formula>"M"</formula>
    </cfRule>
    <cfRule type="cellIs" dxfId="865" priority="139" operator="equal">
      <formula>"RTT"</formula>
    </cfRule>
    <cfRule type="cellIs" dxfId="864" priority="140" operator="equal">
      <formula>"C"</formula>
    </cfRule>
  </conditionalFormatting>
  <conditionalFormatting sqref="AL17">
    <cfRule type="expression" dxfId="863" priority="141">
      <formula>OR(#REF!=1,#REF!=7)</formula>
    </cfRule>
  </conditionalFormatting>
  <conditionalFormatting sqref="AL19">
    <cfRule type="expression" dxfId="862" priority="126">
      <formula>OR(#REF!=1,#REF!=7)</formula>
    </cfRule>
  </conditionalFormatting>
  <conditionalFormatting sqref="AL19">
    <cfRule type="cellIs" dxfId="861" priority="122" operator="equal">
      <formula>"C"</formula>
    </cfRule>
    <cfRule type="cellIs" dxfId="860" priority="123" operator="equal">
      <formula>"M"</formula>
    </cfRule>
    <cfRule type="cellIs" dxfId="859" priority="124" operator="equal">
      <formula>"RTT"</formula>
    </cfRule>
    <cfRule type="cellIs" dxfId="858" priority="125" operator="equal">
      <formula>"C"</formula>
    </cfRule>
  </conditionalFormatting>
  <conditionalFormatting sqref="AL21">
    <cfRule type="cellIs" dxfId="857" priority="112" operator="equal">
      <formula>"C"</formula>
    </cfRule>
    <cfRule type="cellIs" dxfId="856" priority="113" operator="equal">
      <formula>"M"</formula>
    </cfRule>
    <cfRule type="cellIs" dxfId="855" priority="114" operator="equal">
      <formula>"RTT"</formula>
    </cfRule>
    <cfRule type="cellIs" dxfId="854" priority="115" operator="equal">
      <formula>"C"</formula>
    </cfRule>
  </conditionalFormatting>
  <conditionalFormatting sqref="AL21">
    <cfRule type="expression" dxfId="853" priority="116">
      <formula>OR(#REF!=1,#REF!=7)</formula>
    </cfRule>
  </conditionalFormatting>
  <conditionalFormatting sqref="AL23">
    <cfRule type="cellIs" dxfId="852" priority="107" operator="equal">
      <formula>"C"</formula>
    </cfRule>
    <cfRule type="cellIs" dxfId="851" priority="108" operator="equal">
      <formula>"M"</formula>
    </cfRule>
    <cfRule type="cellIs" dxfId="850" priority="109" operator="equal">
      <formula>"RTT"</formula>
    </cfRule>
    <cfRule type="cellIs" dxfId="849" priority="110" operator="equal">
      <formula>"C"</formula>
    </cfRule>
  </conditionalFormatting>
  <conditionalFormatting sqref="AL23">
    <cfRule type="expression" dxfId="848" priority="111">
      <formula>OR(#REF!=1,#REF!=7)</formula>
    </cfRule>
  </conditionalFormatting>
  <conditionalFormatting sqref="AL15">
    <cfRule type="expression" dxfId="847" priority="136">
      <formula>OR(#REF!=1,#REF!=7)</formula>
    </cfRule>
  </conditionalFormatting>
  <conditionalFormatting sqref="AL15">
    <cfRule type="cellIs" dxfId="846" priority="132" operator="equal">
      <formula>"C"</formula>
    </cfRule>
    <cfRule type="cellIs" dxfId="845" priority="133" operator="equal">
      <formula>"M"</formula>
    </cfRule>
    <cfRule type="cellIs" dxfId="844" priority="134" operator="equal">
      <formula>"RTT"</formula>
    </cfRule>
    <cfRule type="cellIs" dxfId="843" priority="135" operator="equal">
      <formula>"C"</formula>
    </cfRule>
  </conditionalFormatting>
  <conditionalFormatting sqref="AL18">
    <cfRule type="expression" dxfId="842" priority="131">
      <formula>OR(#REF!=1,#REF!=7)</formula>
    </cfRule>
  </conditionalFormatting>
  <conditionalFormatting sqref="AL18">
    <cfRule type="cellIs" dxfId="841" priority="127" operator="equal">
      <formula>"C"</formula>
    </cfRule>
    <cfRule type="cellIs" dxfId="840" priority="128" operator="equal">
      <formula>"M"</formula>
    </cfRule>
    <cfRule type="cellIs" dxfId="839" priority="129" operator="equal">
      <formula>"RTT"</formula>
    </cfRule>
    <cfRule type="cellIs" dxfId="838" priority="130" operator="equal">
      <formula>"C"</formula>
    </cfRule>
  </conditionalFormatting>
  <conditionalFormatting sqref="AL20">
    <cfRule type="expression" dxfId="837" priority="121">
      <formula>OR(#REF!=1,#REF!=7)</formula>
    </cfRule>
  </conditionalFormatting>
  <conditionalFormatting sqref="AL20">
    <cfRule type="cellIs" dxfId="836" priority="117" operator="equal">
      <formula>"C"</formula>
    </cfRule>
    <cfRule type="cellIs" dxfId="835" priority="118" operator="equal">
      <formula>"M"</formula>
    </cfRule>
    <cfRule type="cellIs" dxfId="834" priority="119" operator="equal">
      <formula>"RTT"</formula>
    </cfRule>
    <cfRule type="cellIs" dxfId="833" priority="120" operator="equal">
      <formula>"C"</formula>
    </cfRule>
  </conditionalFormatting>
  <conditionalFormatting sqref="AL16">
    <cfRule type="expression" dxfId="832" priority="106">
      <formula>OR(#REF!=1,#REF!=7)</formula>
    </cfRule>
  </conditionalFormatting>
  <conditionalFormatting sqref="AL16">
    <cfRule type="cellIs" dxfId="831" priority="102" operator="equal">
      <formula>"C"</formula>
    </cfRule>
    <cfRule type="cellIs" dxfId="830" priority="103" operator="equal">
      <formula>"M"</formula>
    </cfRule>
    <cfRule type="cellIs" dxfId="829" priority="104" operator="equal">
      <formula>"RTT"</formula>
    </cfRule>
    <cfRule type="cellIs" dxfId="828" priority="105" operator="equal">
      <formula>"C"</formula>
    </cfRule>
  </conditionalFormatting>
  <conditionalFormatting sqref="C7">
    <cfRule type="cellIs" dxfId="827" priority="22" operator="equal">
      <formula>"C"</formula>
    </cfRule>
    <cfRule type="cellIs" dxfId="826" priority="23" operator="equal">
      <formula>"M"</formula>
    </cfRule>
    <cfRule type="cellIs" dxfId="825" priority="24" operator="equal">
      <formula>"RTT"</formula>
    </cfRule>
    <cfRule type="cellIs" dxfId="824" priority="25" operator="equal">
      <formula>"C"</formula>
    </cfRule>
  </conditionalFormatting>
  <conditionalFormatting sqref="C7">
    <cfRule type="expression" dxfId="823" priority="26">
      <formula>OR(#REF!=1,#REF!=7)</formula>
    </cfRule>
  </conditionalFormatting>
  <conditionalFormatting sqref="AI20">
    <cfRule type="cellIs" dxfId="822" priority="72" operator="equal">
      <formula>"C"</formula>
    </cfRule>
    <cfRule type="cellIs" dxfId="821" priority="73" operator="equal">
      <formula>"M"</formula>
    </cfRule>
    <cfRule type="cellIs" dxfId="820" priority="74" operator="equal">
      <formula>"RTT"</formula>
    </cfRule>
    <cfRule type="cellIs" dxfId="819" priority="75" operator="equal">
      <formula>"C"</formula>
    </cfRule>
  </conditionalFormatting>
  <conditionalFormatting sqref="AI15">
    <cfRule type="cellIs" dxfId="818" priority="77" operator="equal">
      <formula>"C"</formula>
    </cfRule>
    <cfRule type="cellIs" dxfId="817" priority="78" operator="equal">
      <formula>"M"</formula>
    </cfRule>
    <cfRule type="cellIs" dxfId="816" priority="79" operator="equal">
      <formula>"RTT"</formula>
    </cfRule>
    <cfRule type="cellIs" dxfId="815" priority="80" operator="equal">
      <formula>"C"</formula>
    </cfRule>
  </conditionalFormatting>
  <conditionalFormatting sqref="AI15">
    <cfRule type="expression" dxfId="814" priority="81">
      <formula>OR(#REF!=1,#REF!=7)</formula>
    </cfRule>
  </conditionalFormatting>
  <conditionalFormatting sqref="AI65">
    <cfRule type="cellIs" dxfId="813" priority="27" operator="equal">
      <formula>"C"</formula>
    </cfRule>
    <cfRule type="cellIs" dxfId="812" priority="28" operator="equal">
      <formula>"M"</formula>
    </cfRule>
    <cfRule type="cellIs" dxfId="811" priority="29" operator="equal">
      <formula>"RTT"</formula>
    </cfRule>
    <cfRule type="cellIs" dxfId="810" priority="30" operator="equal">
      <formula>"C"</formula>
    </cfRule>
  </conditionalFormatting>
  <conditionalFormatting sqref="AI20">
    <cfRule type="expression" dxfId="809" priority="76">
      <formula>OR(#REF!=1,#REF!=7)</formula>
    </cfRule>
  </conditionalFormatting>
  <conditionalFormatting sqref="AI10">
    <cfRule type="cellIs" dxfId="808" priority="82" operator="equal">
      <formula>"C"</formula>
    </cfRule>
    <cfRule type="cellIs" dxfId="807" priority="83" operator="equal">
      <formula>"M"</formula>
    </cfRule>
    <cfRule type="cellIs" dxfId="806" priority="84" operator="equal">
      <formula>"RTT"</formula>
    </cfRule>
    <cfRule type="cellIs" dxfId="805" priority="85" operator="equal">
      <formula>"C"</formula>
    </cfRule>
  </conditionalFormatting>
  <conditionalFormatting sqref="AI60">
    <cfRule type="cellIs" dxfId="804" priority="32" operator="equal">
      <formula>"C"</formula>
    </cfRule>
    <cfRule type="cellIs" dxfId="803" priority="33" operator="equal">
      <formula>"M"</formula>
    </cfRule>
    <cfRule type="cellIs" dxfId="802" priority="34" operator="equal">
      <formula>"RTT"</formula>
    </cfRule>
    <cfRule type="cellIs" dxfId="801" priority="35" operator="equal">
      <formula>"C"</formula>
    </cfRule>
  </conditionalFormatting>
  <conditionalFormatting sqref="AI55">
    <cfRule type="cellIs" dxfId="800" priority="37" operator="equal">
      <formula>"C"</formula>
    </cfRule>
    <cfRule type="cellIs" dxfId="799" priority="38" operator="equal">
      <formula>"M"</formula>
    </cfRule>
    <cfRule type="cellIs" dxfId="798" priority="39" operator="equal">
      <formula>"RTT"</formula>
    </cfRule>
    <cfRule type="cellIs" dxfId="797" priority="40" operator="equal">
      <formula>"C"</formula>
    </cfRule>
  </conditionalFormatting>
  <conditionalFormatting sqref="AI10">
    <cfRule type="expression" dxfId="796" priority="86">
      <formula>OR(#REF!=1,#REF!=7)</formula>
    </cfRule>
  </conditionalFormatting>
  <conditionalFormatting sqref="AI60">
    <cfRule type="expression" dxfId="795" priority="36">
      <formula>OR(#REF!=1,#REF!=7)</formula>
    </cfRule>
  </conditionalFormatting>
  <conditionalFormatting sqref="AI65">
    <cfRule type="expression" dxfId="794" priority="31">
      <formula>OR(#REF!=1,#REF!=7)</formula>
    </cfRule>
  </conditionalFormatting>
  <conditionalFormatting sqref="AI25">
    <cfRule type="cellIs" dxfId="793" priority="67" operator="equal">
      <formula>"C"</formula>
    </cfRule>
    <cfRule type="cellIs" dxfId="792" priority="68" operator="equal">
      <formula>"M"</formula>
    </cfRule>
    <cfRule type="cellIs" dxfId="791" priority="69" operator="equal">
      <formula>"RTT"</formula>
    </cfRule>
    <cfRule type="cellIs" dxfId="790" priority="70" operator="equal">
      <formula>"C"</formula>
    </cfRule>
  </conditionalFormatting>
  <conditionalFormatting sqref="AI25">
    <cfRule type="expression" dxfId="789" priority="71">
      <formula>OR(#REF!=1,#REF!=7)</formula>
    </cfRule>
  </conditionalFormatting>
  <conditionalFormatting sqref="AI30">
    <cfRule type="cellIs" dxfId="788" priority="62" operator="equal">
      <formula>"C"</formula>
    </cfRule>
    <cfRule type="cellIs" dxfId="787" priority="63" operator="equal">
      <formula>"M"</formula>
    </cfRule>
    <cfRule type="cellIs" dxfId="786" priority="64" operator="equal">
      <formula>"RTT"</formula>
    </cfRule>
    <cfRule type="cellIs" dxfId="785" priority="65" operator="equal">
      <formula>"C"</formula>
    </cfRule>
  </conditionalFormatting>
  <conditionalFormatting sqref="AI30">
    <cfRule type="expression" dxfId="784" priority="66">
      <formula>OR(#REF!=1,#REF!=7)</formula>
    </cfRule>
  </conditionalFormatting>
  <conditionalFormatting sqref="AI35">
    <cfRule type="cellIs" dxfId="783" priority="57" operator="equal">
      <formula>"C"</formula>
    </cfRule>
    <cfRule type="cellIs" dxfId="782" priority="58" operator="equal">
      <formula>"M"</formula>
    </cfRule>
    <cfRule type="cellIs" dxfId="781" priority="59" operator="equal">
      <formula>"RTT"</formula>
    </cfRule>
    <cfRule type="cellIs" dxfId="780" priority="60" operator="equal">
      <formula>"C"</formula>
    </cfRule>
  </conditionalFormatting>
  <conditionalFormatting sqref="AI35">
    <cfRule type="expression" dxfId="779" priority="61">
      <formula>OR(#REF!=1,#REF!=7)</formula>
    </cfRule>
  </conditionalFormatting>
  <conditionalFormatting sqref="AI40">
    <cfRule type="cellIs" dxfId="778" priority="52" operator="equal">
      <formula>"C"</formula>
    </cfRule>
    <cfRule type="cellIs" dxfId="777" priority="53" operator="equal">
      <formula>"M"</formula>
    </cfRule>
    <cfRule type="cellIs" dxfId="776" priority="54" operator="equal">
      <formula>"RTT"</formula>
    </cfRule>
    <cfRule type="cellIs" dxfId="775" priority="55" operator="equal">
      <formula>"C"</formula>
    </cfRule>
  </conditionalFormatting>
  <conditionalFormatting sqref="AI40">
    <cfRule type="expression" dxfId="774" priority="56">
      <formula>OR(#REF!=1,#REF!=7)</formula>
    </cfRule>
  </conditionalFormatting>
  <conditionalFormatting sqref="AI45">
    <cfRule type="cellIs" dxfId="773" priority="47" operator="equal">
      <formula>"C"</formula>
    </cfRule>
    <cfRule type="cellIs" dxfId="772" priority="48" operator="equal">
      <formula>"M"</formula>
    </cfRule>
    <cfRule type="cellIs" dxfId="771" priority="49" operator="equal">
      <formula>"RTT"</formula>
    </cfRule>
    <cfRule type="cellIs" dxfId="770" priority="50" operator="equal">
      <formula>"C"</formula>
    </cfRule>
  </conditionalFormatting>
  <conditionalFormatting sqref="AI45">
    <cfRule type="expression" dxfId="769" priority="51">
      <formula>OR(#REF!=1,#REF!=7)</formula>
    </cfRule>
  </conditionalFormatting>
  <conditionalFormatting sqref="AI50">
    <cfRule type="cellIs" dxfId="768" priority="42" operator="equal">
      <formula>"C"</formula>
    </cfRule>
    <cfRule type="cellIs" dxfId="767" priority="43" operator="equal">
      <formula>"M"</formula>
    </cfRule>
    <cfRule type="cellIs" dxfId="766" priority="44" operator="equal">
      <formula>"RTT"</formula>
    </cfRule>
    <cfRule type="cellIs" dxfId="765" priority="45" operator="equal">
      <formula>"C"</formula>
    </cfRule>
  </conditionalFormatting>
  <conditionalFormatting sqref="AI50">
    <cfRule type="expression" dxfId="764" priority="46">
      <formula>OR(#REF!=1,#REF!=7)</formula>
    </cfRule>
  </conditionalFormatting>
  <conditionalFormatting sqref="AI55">
    <cfRule type="expression" dxfId="763" priority="41">
      <formula>OR(#REF!=1,#REF!=7)</formula>
    </cfRule>
  </conditionalFormatting>
  <conditionalFormatting sqref="AR20">
    <cfRule type="cellIs" dxfId="762" priority="17" operator="equal">
      <formula>"C"</formula>
    </cfRule>
    <cfRule type="cellIs" dxfId="761" priority="18" operator="equal">
      <formula>"M"</formula>
    </cfRule>
    <cfRule type="cellIs" dxfId="760" priority="19" operator="equal">
      <formula>"RTT"</formula>
    </cfRule>
    <cfRule type="cellIs" dxfId="759" priority="20" operator="equal">
      <formula>"C"</formula>
    </cfRule>
  </conditionalFormatting>
  <conditionalFormatting sqref="AR20">
    <cfRule type="expression" dxfId="758" priority="21">
      <formula>OR(#REF!=1,#REF!=7)</formula>
    </cfRule>
  </conditionalFormatting>
  <conditionalFormatting sqref="CA5:CA18">
    <cfRule type="expression" dxfId="757" priority="15" stopIfTrue="1">
      <formula>WEEKDAY(CA5,2)=6</formula>
    </cfRule>
    <cfRule type="expression" dxfId="756" priority="16" stopIfTrue="1">
      <formula>WEEKDAY(CA5,2)=7</formula>
    </cfRule>
  </conditionalFormatting>
  <conditionalFormatting sqref="CA21:CA34">
    <cfRule type="expression" dxfId="755" priority="13" stopIfTrue="1">
      <formula>WEEKDAY(CA21,2)=6</formula>
    </cfRule>
    <cfRule type="expression" dxfId="754" priority="14" stopIfTrue="1">
      <formula>WEEKDAY(CA21,2)=7</formula>
    </cfRule>
  </conditionalFormatting>
  <conditionalFormatting sqref="C10:AG11">
    <cfRule type="expression" dxfId="753" priority="12">
      <formula>C$8=VLOOKUP(C$8,$BZ$5:$CA$18,2,0)</formula>
    </cfRule>
  </conditionalFormatting>
  <conditionalFormatting sqref="C15:AG16">
    <cfRule type="expression" dxfId="752" priority="11">
      <formula>C$13=VLOOKUP(C$13,$BZ$5:$CA$18,2,0)</formula>
    </cfRule>
  </conditionalFormatting>
  <conditionalFormatting sqref="C20:AG21">
    <cfRule type="expression" dxfId="751" priority="10">
      <formula>C$18=VLOOKUP(C$18,$BZ$5:$CA$18,2,0)</formula>
    </cfRule>
  </conditionalFormatting>
  <conditionalFormatting sqref="C25:AG26">
    <cfRule type="expression" dxfId="750" priority="9">
      <formula>C$23=VLOOKUP(C$23,$BZ$5:$CA$18,2,0)</formula>
    </cfRule>
  </conditionalFormatting>
  <conditionalFormatting sqref="C30:AG31">
    <cfRule type="expression" dxfId="749" priority="8">
      <formula>C$28=VLOOKUP(C$28,$BZ$5:$CA$18,2,0)</formula>
    </cfRule>
  </conditionalFormatting>
  <conditionalFormatting sqref="C35:AG36">
    <cfRule type="expression" dxfId="748" priority="7">
      <formula>C$33=VLOOKUP(C$33,$BZ$5:$CA$18,2,0)</formula>
    </cfRule>
  </conditionalFormatting>
  <conditionalFormatting sqref="C40:AG41">
    <cfRule type="expression" dxfId="747" priority="6">
      <formula>C$38=VLOOKUP(C$38,$BZ$5:$CA$18,2,0)</formula>
    </cfRule>
  </conditionalFormatting>
  <conditionalFormatting sqref="C45:AG46">
    <cfRule type="expression" dxfId="746" priority="5">
      <formula>C$43=VLOOKUP(C$43,$BZ$5:$CA$18,2,0)</formula>
    </cfRule>
  </conditionalFormatting>
  <conditionalFormatting sqref="C50:AG51">
    <cfRule type="expression" dxfId="745" priority="4">
      <formula>C$48=VLOOKUP(C$48,$BZ$5:$CA$18,2,0)</formula>
    </cfRule>
  </conditionalFormatting>
  <conditionalFormatting sqref="C55:AG56">
    <cfRule type="expression" dxfId="744" priority="3">
      <formula>C$53=VLOOKUP(C$53,$BZ$5:$CA$18,2,0)</formula>
    </cfRule>
  </conditionalFormatting>
  <conditionalFormatting sqref="C60:AG61">
    <cfRule type="expression" dxfId="743" priority="2">
      <formula>C$58=VLOOKUP(C$58,$BZ$5:$CA$18,2,0)</formula>
    </cfRule>
  </conditionalFormatting>
  <conditionalFormatting sqref="C65:AG66">
    <cfRule type="expression" dxfId="742" priority="1">
      <formula>C$63=VLOOKUP(C$63,$BZ$5:$CA$18,2,0)</formula>
    </cfRule>
  </conditionalFormatting>
  <dataValidations count="1">
    <dataValidation type="list" allowBlank="1" showInputMessage="1" showErrorMessage="1" sqref="N74:O74 AL15:AL114" xr:uid="{247F7041-3072-48B2-BF0B-836DF1152D04}">
      <formula1>$I$3:$I$3</formula1>
    </dataValidation>
  </dataValidations>
  <hyperlinks>
    <hyperlink ref="U5" r:id="rId1" xr:uid="{92B59D4E-4139-488F-BF58-85B20323A898}"/>
  </hyperlinks>
  <pageMargins left="0.7" right="0.7" top="0.75" bottom="0.75" header="0.3" footer="0.3"/>
  <pageSetup paperSize="9" orientation="portrait" r:id="rId2"/>
  <drawing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9FB41-BCDF-4E77-BED0-C2CD19A0B1A3}">
  <sheetPr codeName="Feuil2"/>
  <dimension ref="A1:CE208"/>
  <sheetViews>
    <sheetView zoomScaleNormal="100" workbookViewId="0">
      <selection activeCell="R25" sqref="R25"/>
    </sheetView>
  </sheetViews>
  <sheetFormatPr baseColWidth="10" defaultRowHeight="15.75" x14ac:dyDescent="0.25"/>
  <cols>
    <col min="1" max="1" width="4.5" customWidth="1"/>
    <col min="3" max="33" width="5.625" customWidth="1"/>
    <col min="35" max="36" width="4.625" customWidth="1"/>
    <col min="37" max="40" width="11" customWidth="1"/>
    <col min="41" max="41" width="15.125" customWidth="1"/>
    <col min="42" max="42" width="11" customWidth="1"/>
    <col min="43" max="43" width="28.125" customWidth="1"/>
    <col min="78" max="78" width="17.5" customWidth="1"/>
    <col min="79" max="79" width="42.25" customWidth="1"/>
    <col min="80" max="80" width="27.75" customWidth="1"/>
    <col min="82" max="82" width="18" customWidth="1"/>
    <col min="83" max="83" width="21.625" customWidth="1"/>
  </cols>
  <sheetData>
    <row r="1" spans="1:83" ht="23.25" x14ac:dyDescent="0.25">
      <c r="A1" s="1483" t="s">
        <v>680</v>
      </c>
      <c r="B1" s="1484"/>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5"/>
      <c r="AJ1" s="13"/>
      <c r="AK1" s="672" t="s">
        <v>809</v>
      </c>
      <c r="AL1" s="13"/>
      <c r="AM1" s="13"/>
      <c r="AN1" s="13"/>
      <c r="AO1" s="13"/>
      <c r="AP1" s="13"/>
      <c r="AQ1" s="13"/>
    </row>
    <row r="2" spans="1:83" ht="23.25" customHeight="1" x14ac:dyDescent="0.25">
      <c r="A2" s="13"/>
      <c r="B2" s="13"/>
      <c r="C2" s="1467">
        <v>2020</v>
      </c>
      <c r="D2" s="1467"/>
      <c r="E2" s="1467"/>
      <c r="F2" s="1467"/>
      <c r="G2" s="1467"/>
      <c r="H2" s="13"/>
      <c r="I2" s="1487" t="s">
        <v>55</v>
      </c>
      <c r="J2" s="1487"/>
      <c r="K2" s="1487"/>
      <c r="L2" s="1487"/>
      <c r="M2" s="1487"/>
      <c r="N2" s="1487"/>
      <c r="O2" s="1487"/>
      <c r="P2" s="1487"/>
      <c r="Q2" s="1487"/>
      <c r="R2" s="34"/>
      <c r="S2" s="13"/>
      <c r="T2" s="13"/>
      <c r="U2" s="1488" t="s">
        <v>817</v>
      </c>
      <c r="V2" s="1488"/>
      <c r="W2" s="1488"/>
      <c r="X2" s="1488"/>
      <c r="Y2" s="1488"/>
      <c r="Z2" s="1488"/>
      <c r="AA2" s="1488"/>
      <c r="AB2" s="1488"/>
      <c r="AC2" s="1488"/>
      <c r="AD2" s="1488"/>
      <c r="AE2" s="1488"/>
      <c r="AF2" s="1488"/>
      <c r="AG2" s="1488"/>
      <c r="AH2" s="661"/>
      <c r="AI2" s="13"/>
      <c r="AJ2" s="13"/>
      <c r="AK2" s="36" t="s">
        <v>107</v>
      </c>
      <c r="AL2" s="35"/>
      <c r="AM2" s="13"/>
      <c r="AN2" s="13"/>
      <c r="AO2" s="13"/>
      <c r="AP2" s="13"/>
      <c r="AQ2" s="13"/>
      <c r="BZ2" s="1489" t="s">
        <v>892</v>
      </c>
      <c r="CA2" s="1489"/>
      <c r="CB2" s="1489"/>
      <c r="CC2" s="1489"/>
      <c r="CD2" s="1489"/>
      <c r="CE2" s="1489"/>
    </row>
    <row r="3" spans="1:83" ht="15.75" customHeight="1" x14ac:dyDescent="0.25">
      <c r="A3" s="13"/>
      <c r="B3" s="13"/>
      <c r="C3" s="1467"/>
      <c r="D3" s="1467"/>
      <c r="E3" s="1467"/>
      <c r="F3" s="1467"/>
      <c r="G3" s="1467"/>
      <c r="H3" s="13"/>
      <c r="I3" s="1487"/>
      <c r="J3" s="1487"/>
      <c r="K3" s="1487"/>
      <c r="L3" s="1487"/>
      <c r="M3" s="1487"/>
      <c r="N3" s="1487"/>
      <c r="O3" s="1487"/>
      <c r="P3" s="1487"/>
      <c r="Q3" s="1487"/>
      <c r="R3" s="34"/>
      <c r="S3" s="13"/>
      <c r="T3" s="13"/>
      <c r="U3" s="1488"/>
      <c r="V3" s="1488"/>
      <c r="W3" s="1488"/>
      <c r="X3" s="1488"/>
      <c r="Y3" s="1488"/>
      <c r="Z3" s="1488"/>
      <c r="AA3" s="1488"/>
      <c r="AB3" s="1488"/>
      <c r="AC3" s="1488"/>
      <c r="AD3" s="1488"/>
      <c r="AE3" s="1488"/>
      <c r="AF3" s="1488"/>
      <c r="AG3" s="1488"/>
      <c r="AH3" s="661"/>
      <c r="AI3" s="13"/>
      <c r="AJ3" s="13"/>
      <c r="AK3" s="36" t="s">
        <v>797</v>
      </c>
      <c r="AL3" s="35"/>
      <c r="AM3" s="13"/>
      <c r="AN3" s="13"/>
      <c r="AO3" s="13"/>
      <c r="AP3" s="13"/>
      <c r="AQ3" s="13"/>
      <c r="AR3" s="13"/>
      <c r="BZ3" s="1489"/>
      <c r="CA3" s="1489"/>
      <c r="CB3" s="1489"/>
      <c r="CC3" s="1489"/>
      <c r="CD3" s="1489"/>
      <c r="CE3" s="1489"/>
    </row>
    <row r="4" spans="1:83" ht="15.75" customHeight="1" thickBot="1" x14ac:dyDescent="0.3">
      <c r="A4" s="13"/>
      <c r="B4" s="660" t="s">
        <v>414</v>
      </c>
      <c r="C4" s="662" t="s">
        <v>662</v>
      </c>
      <c r="D4" s="665">
        <f>SUM(B10,B15,B20,B25,B30,B35,B40,B45,B50,B55,B60,B65)</f>
        <v>17</v>
      </c>
      <c r="E4" s="638" t="s">
        <v>362</v>
      </c>
      <c r="F4" s="665">
        <f>SUM(AH12,AH17,AH22,AH27,AH32,AH37,AH42,AH47,AH52,AH57,AH62,AH67)</f>
        <v>2</v>
      </c>
      <c r="G4" s="668" t="s">
        <v>820</v>
      </c>
      <c r="H4" s="13"/>
      <c r="I4" s="1498" t="s">
        <v>106</v>
      </c>
      <c r="J4" s="1498"/>
      <c r="K4" s="1498"/>
      <c r="L4" s="1498"/>
      <c r="M4" s="1498"/>
      <c r="N4" s="1498"/>
      <c r="O4" s="1498"/>
      <c r="P4" s="1498"/>
      <c r="Q4" s="1498"/>
      <c r="R4" s="13"/>
      <c r="S4" s="13"/>
      <c r="T4" s="13"/>
      <c r="U4" s="13"/>
      <c r="V4" s="13"/>
      <c r="W4" s="13"/>
      <c r="X4" s="13"/>
      <c r="Y4" s="13"/>
      <c r="Z4" s="13"/>
      <c r="AA4" s="13"/>
      <c r="AB4" s="13"/>
      <c r="AC4" s="13"/>
      <c r="AD4" s="13"/>
      <c r="AE4" s="13"/>
      <c r="AF4" s="13"/>
      <c r="AG4" s="16" t="s">
        <v>52</v>
      </c>
      <c r="AH4" s="661"/>
      <c r="AI4" s="13"/>
      <c r="AJ4" s="13"/>
      <c r="AK4" s="13"/>
      <c r="AL4" s="13"/>
      <c r="AM4" s="13"/>
      <c r="AN4" s="13"/>
      <c r="AO4" s="13"/>
      <c r="AP4" s="13"/>
      <c r="AQ4" s="13"/>
      <c r="AR4" s="13"/>
      <c r="BZ4" s="1490">
        <f>C2</f>
        <v>2020</v>
      </c>
      <c r="CA4" s="1491"/>
      <c r="CB4" s="1492"/>
      <c r="CC4" s="563"/>
      <c r="CD4" s="1493">
        <f>BZ20+1</f>
        <v>2022</v>
      </c>
      <c r="CE4" s="1494"/>
    </row>
    <row r="5" spans="1:83" ht="18.75" x14ac:dyDescent="0.25">
      <c r="A5" s="13"/>
      <c r="B5" s="660" t="s">
        <v>818</v>
      </c>
      <c r="C5" s="663" t="s">
        <v>800</v>
      </c>
      <c r="D5" s="665">
        <f>SUM(B11,B16,B21,B26,B31,B36,B41,B46,B51,B56,B61,B66)</f>
        <v>6</v>
      </c>
      <c r="E5" s="666" t="s">
        <v>7</v>
      </c>
      <c r="F5" s="665">
        <f>SUM(B12,B17,B22,B27,B32,B37,B42,B47,B52,B57,B62,B67)</f>
        <v>8</v>
      </c>
      <c r="G5" s="669" t="s">
        <v>700</v>
      </c>
      <c r="H5" s="13"/>
      <c r="I5" s="1498"/>
      <c r="J5" s="1498"/>
      <c r="K5" s="1498"/>
      <c r="L5" s="1498"/>
      <c r="M5" s="1498"/>
      <c r="N5" s="1498"/>
      <c r="O5" s="1498"/>
      <c r="P5" s="1498"/>
      <c r="Q5" s="1498"/>
      <c r="R5" s="13"/>
      <c r="S5" s="13"/>
      <c r="T5" s="15" t="s">
        <v>53</v>
      </c>
      <c r="U5" s="17" t="s">
        <v>35</v>
      </c>
      <c r="V5" s="18"/>
      <c r="W5" s="18"/>
      <c r="X5" s="13"/>
      <c r="Y5" s="13"/>
      <c r="Z5" s="13"/>
      <c r="AA5" s="13"/>
      <c r="AB5" s="13"/>
      <c r="AC5" s="13"/>
      <c r="AD5" s="13"/>
      <c r="AE5" s="13"/>
      <c r="AF5" s="13"/>
      <c r="AG5" s="13"/>
      <c r="AH5" s="661"/>
      <c r="AI5" s="13"/>
      <c r="AJ5" s="13"/>
      <c r="AK5" s="594" t="s">
        <v>829</v>
      </c>
      <c r="AL5" s="13"/>
      <c r="AM5" s="13"/>
      <c r="AN5" s="13"/>
      <c r="AO5" s="13"/>
      <c r="AP5" s="13"/>
      <c r="AQ5" s="13"/>
      <c r="AR5" s="13"/>
      <c r="BZ5" s="359">
        <f t="shared" ref="BZ5:BZ17" si="0">CA5</f>
        <v>43831</v>
      </c>
      <c r="CA5" s="360">
        <f>DATE(BZ4,1,1)</f>
        <v>43831</v>
      </c>
      <c r="CB5" s="361" t="s">
        <v>721</v>
      </c>
      <c r="CC5" s="563"/>
      <c r="CD5" s="1495" t="s">
        <v>722</v>
      </c>
      <c r="CE5" s="1496"/>
    </row>
    <row r="6" spans="1:83" ht="18.75" x14ac:dyDescent="0.3">
      <c r="A6" s="13"/>
      <c r="B6" s="660" t="s">
        <v>819</v>
      </c>
      <c r="C6" s="636" t="s">
        <v>8</v>
      </c>
      <c r="D6" s="665">
        <f>SUM(AH8,AH13,AH18,AH23,AH28,AH33,AH38,AH43,AH48,AH53,AH58,AH63)</f>
        <v>4</v>
      </c>
      <c r="E6" s="637" t="s">
        <v>360</v>
      </c>
      <c r="F6" s="665">
        <f>SUM(AH9,AH14,AH19,AH24,AH29,AH34,AH39,AH44,AH49,AH54,AH59,AH64)</f>
        <v>21</v>
      </c>
      <c r="G6" s="670" t="s">
        <v>821</v>
      </c>
      <c r="H6" s="13"/>
      <c r="I6" s="1498"/>
      <c r="J6" s="1498"/>
      <c r="K6" s="1498"/>
      <c r="L6" s="1498"/>
      <c r="M6" s="1498"/>
      <c r="N6" s="1498"/>
      <c r="O6" s="1498"/>
      <c r="P6" s="1498"/>
      <c r="Q6" s="1498"/>
      <c r="R6" s="13"/>
      <c r="S6" s="13"/>
      <c r="T6" s="263" t="s">
        <v>843</v>
      </c>
      <c r="U6" s="13"/>
      <c r="V6" s="13"/>
      <c r="W6" s="13"/>
      <c r="X6" s="13"/>
      <c r="Y6" s="13"/>
      <c r="Z6" s="13"/>
      <c r="AA6" s="13"/>
      <c r="AB6" s="13"/>
      <c r="AC6" s="13"/>
      <c r="AD6" s="13"/>
      <c r="AE6" s="13"/>
      <c r="AF6" s="13"/>
      <c r="AG6" s="13"/>
      <c r="AH6" s="13"/>
      <c r="AI6" s="13"/>
      <c r="AJ6" s="13"/>
      <c r="AK6" s="36" t="s">
        <v>795</v>
      </c>
      <c r="AL6" s="13"/>
      <c r="AM6" s="13"/>
      <c r="AN6" s="13"/>
      <c r="AO6" s="13"/>
      <c r="AP6" s="13"/>
      <c r="AQ6" s="13"/>
      <c r="BZ6" s="359">
        <f t="shared" si="0"/>
        <v>43933</v>
      </c>
      <c r="CA6" s="360">
        <f>DATE(BZ4,3,29.56+0.979*MOD(204-11*MOD(BZ4,19),30)-WEEKDAY(DATE(BZ4,3,28.56+0.979*MOD(204-11*MOD(BZ4,19),30))))</f>
        <v>43933</v>
      </c>
      <c r="CB6" s="361" t="s">
        <v>585</v>
      </c>
      <c r="CC6" s="563"/>
      <c r="CD6" s="362" t="s">
        <v>723</v>
      </c>
      <c r="CE6" s="363">
        <f>DATE(CD4-1,12,25)</f>
        <v>44555</v>
      </c>
    </row>
    <row r="7" spans="1:83" ht="19.5" thickBot="1" x14ac:dyDescent="0.3">
      <c r="A7" s="13"/>
      <c r="B7" s="661" t="s">
        <v>822</v>
      </c>
      <c r="C7" s="664" t="s">
        <v>6</v>
      </c>
      <c r="D7" s="665">
        <f>SUM(AH10,AH15,AH20,AH25,AH30,AH35,AH40,AH45,AH50,AH55,AH60,AH65)</f>
        <v>11</v>
      </c>
      <c r="E7" s="667" t="s">
        <v>799</v>
      </c>
      <c r="F7" s="665">
        <f>SUM(AH11,AH16,AH21,AH26,AH31,AH36,AH41,AH46,AH51,AH56,AH61,AH66)</f>
        <v>4</v>
      </c>
      <c r="G7" s="671" t="s">
        <v>823</v>
      </c>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36" t="s">
        <v>796</v>
      </c>
      <c r="AL7" s="13"/>
      <c r="AM7" s="13"/>
      <c r="AN7" s="13"/>
      <c r="AO7" s="13"/>
      <c r="AP7" s="13"/>
      <c r="AQ7" s="13"/>
      <c r="BZ7" s="359">
        <f t="shared" si="0"/>
        <v>43934</v>
      </c>
      <c r="CA7" s="360">
        <f>CA6+1</f>
        <v>43934</v>
      </c>
      <c r="CB7" s="361" t="s">
        <v>725</v>
      </c>
      <c r="CC7" s="563"/>
      <c r="CD7" s="364" t="s">
        <v>721</v>
      </c>
      <c r="CE7" s="365">
        <f>DATE(CD4,1,1)</f>
        <v>44562</v>
      </c>
    </row>
    <row r="8" spans="1:83" ht="14.25" customHeight="1" x14ac:dyDescent="0.25">
      <c r="A8" s="651"/>
      <c r="B8" s="20">
        <f>DATE($C$2,MONTH(1&amp;"/"&amp;C9),1)</f>
        <v>43831</v>
      </c>
      <c r="C8" s="14">
        <f>B8</f>
        <v>43831</v>
      </c>
      <c r="D8" s="14">
        <f>IFERROR(IF(C8+1&gt;$B$9,"",C8+1),"")</f>
        <v>43832</v>
      </c>
      <c r="E8" s="14">
        <f t="shared" ref="E8:AG8" si="1">IFERROR(IF(D8+1&gt;$B$9,"",D8+1),"")</f>
        <v>43833</v>
      </c>
      <c r="F8" s="14">
        <f t="shared" si="1"/>
        <v>43834</v>
      </c>
      <c r="G8" s="14">
        <f t="shared" si="1"/>
        <v>43835</v>
      </c>
      <c r="H8" s="14">
        <f t="shared" si="1"/>
        <v>43836</v>
      </c>
      <c r="I8" s="14">
        <f t="shared" si="1"/>
        <v>43837</v>
      </c>
      <c r="J8" s="14">
        <f t="shared" si="1"/>
        <v>43838</v>
      </c>
      <c r="K8" s="14">
        <f t="shared" si="1"/>
        <v>43839</v>
      </c>
      <c r="L8" s="14">
        <f t="shared" si="1"/>
        <v>43840</v>
      </c>
      <c r="M8" s="14">
        <f t="shared" si="1"/>
        <v>43841</v>
      </c>
      <c r="N8" s="14">
        <f t="shared" si="1"/>
        <v>43842</v>
      </c>
      <c r="O8" s="14">
        <f t="shared" si="1"/>
        <v>43843</v>
      </c>
      <c r="P8" s="14">
        <f t="shared" si="1"/>
        <v>43844</v>
      </c>
      <c r="Q8" s="14">
        <f t="shared" si="1"/>
        <v>43845</v>
      </c>
      <c r="R8" s="14">
        <f t="shared" si="1"/>
        <v>43846</v>
      </c>
      <c r="S8" s="14">
        <f t="shared" si="1"/>
        <v>43847</v>
      </c>
      <c r="T8" s="14">
        <f t="shared" si="1"/>
        <v>43848</v>
      </c>
      <c r="U8" s="14">
        <f t="shared" si="1"/>
        <v>43849</v>
      </c>
      <c r="V8" s="14">
        <f t="shared" si="1"/>
        <v>43850</v>
      </c>
      <c r="W8" s="14">
        <f t="shared" si="1"/>
        <v>43851</v>
      </c>
      <c r="X8" s="14">
        <f t="shared" si="1"/>
        <v>43852</v>
      </c>
      <c r="Y8" s="14">
        <f t="shared" si="1"/>
        <v>43853</v>
      </c>
      <c r="Z8" s="14">
        <f t="shared" si="1"/>
        <v>43854</v>
      </c>
      <c r="AA8" s="14">
        <f t="shared" si="1"/>
        <v>43855</v>
      </c>
      <c r="AB8" s="14">
        <f t="shared" si="1"/>
        <v>43856</v>
      </c>
      <c r="AC8" s="14">
        <f t="shared" si="1"/>
        <v>43857</v>
      </c>
      <c r="AD8" s="14">
        <f t="shared" si="1"/>
        <v>43858</v>
      </c>
      <c r="AE8" s="14">
        <f t="shared" si="1"/>
        <v>43859</v>
      </c>
      <c r="AF8" s="14">
        <f t="shared" si="1"/>
        <v>43860</v>
      </c>
      <c r="AG8" s="642">
        <f t="shared" si="1"/>
        <v>43861</v>
      </c>
      <c r="AH8" s="647">
        <f>COUNTIF(C12:AG12,AI8)</f>
        <v>0</v>
      </c>
      <c r="AI8" s="640" t="s">
        <v>8</v>
      </c>
      <c r="AJ8" s="13"/>
      <c r="AK8" s="36" t="s">
        <v>794</v>
      </c>
      <c r="AL8" s="13"/>
      <c r="AM8" s="13"/>
      <c r="AN8" s="13"/>
      <c r="AO8" s="13"/>
      <c r="AP8" s="13"/>
      <c r="BZ8" s="359">
        <f t="shared" si="0"/>
        <v>43952</v>
      </c>
      <c r="CA8" s="360">
        <f>DATE(BZ4,5,1)</f>
        <v>43952</v>
      </c>
      <c r="CB8" s="361" t="s">
        <v>726</v>
      </c>
      <c r="CC8" s="563"/>
      <c r="CD8" s="362" t="s">
        <v>585</v>
      </c>
      <c r="CE8" s="363">
        <f>ROUND(DATE(CD4,4,MOD(234-11*MOD(CD4,19),30))/7,)*7-6</f>
        <v>44668</v>
      </c>
    </row>
    <row r="9" spans="1:83" ht="18.75" customHeight="1" x14ac:dyDescent="0.25">
      <c r="A9" s="652"/>
      <c r="B9" s="21">
        <f>EOMONTH(B8,0)</f>
        <v>43861</v>
      </c>
      <c r="C9" s="1479" t="s">
        <v>36</v>
      </c>
      <c r="D9" s="1480"/>
      <c r="E9" s="1480"/>
      <c r="F9" s="1480"/>
      <c r="G9" s="1480"/>
      <c r="H9" s="1480"/>
      <c r="I9" s="1480"/>
      <c r="J9" s="1480"/>
      <c r="K9" s="1480"/>
      <c r="L9" s="1480"/>
      <c r="M9" s="1480"/>
      <c r="N9" s="1480"/>
      <c r="O9" s="1480"/>
      <c r="P9" s="1480"/>
      <c r="Q9" s="1480"/>
      <c r="R9" s="1480"/>
      <c r="S9" s="1480"/>
      <c r="T9" s="1480"/>
      <c r="U9" s="1480"/>
      <c r="V9" s="1480"/>
      <c r="W9" s="1480"/>
      <c r="X9" s="1480"/>
      <c r="Y9" s="1480"/>
      <c r="Z9" s="1480"/>
      <c r="AA9" s="1480"/>
      <c r="AB9" s="1480"/>
      <c r="AC9" s="1480"/>
      <c r="AD9" s="1480"/>
      <c r="AE9" s="1480"/>
      <c r="AF9" s="1480"/>
      <c r="AG9" s="1480"/>
      <c r="AH9" s="648">
        <f>COUNTIF(C12:AG12,AI9)</f>
        <v>0</v>
      </c>
      <c r="AI9" s="629" t="s">
        <v>360</v>
      </c>
      <c r="AJ9" s="13"/>
      <c r="AK9" s="36" t="s">
        <v>793</v>
      </c>
      <c r="AL9" s="13"/>
      <c r="AM9" s="13"/>
      <c r="AN9" s="13"/>
      <c r="AP9" s="13"/>
      <c r="BZ9" s="359">
        <f t="shared" si="0"/>
        <v>43959</v>
      </c>
      <c r="CA9" s="360">
        <f>DATE(BZ4,5,8)</f>
        <v>43959</v>
      </c>
      <c r="CB9" s="361" t="s">
        <v>728</v>
      </c>
      <c r="CC9" s="563"/>
      <c r="CD9" s="362" t="s">
        <v>725</v>
      </c>
      <c r="CE9" s="363">
        <f>CE8+1</f>
        <v>44669</v>
      </c>
    </row>
    <row r="10" spans="1:83" ht="17.25" customHeight="1" x14ac:dyDescent="0.25">
      <c r="A10" s="654" t="s">
        <v>662</v>
      </c>
      <c r="B10" s="657">
        <f>COUNTIF(C12:AG12,A10)</f>
        <v>0</v>
      </c>
      <c r="C10" s="6">
        <f>IFERROR(DAY(C8),"")</f>
        <v>1</v>
      </c>
      <c r="D10" s="3">
        <f t="shared" ref="D10:AG10" si="2">IFERROR(DAY(D8),"")</f>
        <v>2</v>
      </c>
      <c r="E10" s="3">
        <f t="shared" si="2"/>
        <v>3</v>
      </c>
      <c r="F10" s="3">
        <f t="shared" si="2"/>
        <v>4</v>
      </c>
      <c r="G10" s="3">
        <f t="shared" si="2"/>
        <v>5</v>
      </c>
      <c r="H10" s="3">
        <f t="shared" si="2"/>
        <v>6</v>
      </c>
      <c r="I10" s="3">
        <f t="shared" si="2"/>
        <v>7</v>
      </c>
      <c r="J10" s="3">
        <f t="shared" si="2"/>
        <v>8</v>
      </c>
      <c r="K10" s="3">
        <f t="shared" si="2"/>
        <v>9</v>
      </c>
      <c r="L10" s="3">
        <f t="shared" si="2"/>
        <v>10</v>
      </c>
      <c r="M10" s="3">
        <f t="shared" si="2"/>
        <v>11</v>
      </c>
      <c r="N10" s="3">
        <f t="shared" si="2"/>
        <v>12</v>
      </c>
      <c r="O10" s="3">
        <f t="shared" si="2"/>
        <v>13</v>
      </c>
      <c r="P10" s="3">
        <f t="shared" si="2"/>
        <v>14</v>
      </c>
      <c r="Q10" s="3">
        <f t="shared" si="2"/>
        <v>15</v>
      </c>
      <c r="R10" s="3">
        <f t="shared" si="2"/>
        <v>16</v>
      </c>
      <c r="S10" s="3">
        <f t="shared" si="2"/>
        <v>17</v>
      </c>
      <c r="T10" s="3">
        <f t="shared" si="2"/>
        <v>18</v>
      </c>
      <c r="U10" s="3">
        <f t="shared" si="2"/>
        <v>19</v>
      </c>
      <c r="V10" s="3">
        <f t="shared" si="2"/>
        <v>20</v>
      </c>
      <c r="W10" s="3">
        <f t="shared" si="2"/>
        <v>21</v>
      </c>
      <c r="X10" s="3">
        <f t="shared" si="2"/>
        <v>22</v>
      </c>
      <c r="Y10" s="3">
        <f t="shared" si="2"/>
        <v>23</v>
      </c>
      <c r="Z10" s="3">
        <f t="shared" si="2"/>
        <v>24</v>
      </c>
      <c r="AA10" s="3">
        <f t="shared" si="2"/>
        <v>25</v>
      </c>
      <c r="AB10" s="3">
        <f t="shared" si="2"/>
        <v>26</v>
      </c>
      <c r="AC10" s="3">
        <f t="shared" si="2"/>
        <v>27</v>
      </c>
      <c r="AD10" s="3">
        <f t="shared" si="2"/>
        <v>28</v>
      </c>
      <c r="AE10" s="3">
        <f t="shared" si="2"/>
        <v>29</v>
      </c>
      <c r="AF10" s="3">
        <f t="shared" si="2"/>
        <v>30</v>
      </c>
      <c r="AG10" s="643">
        <f t="shared" si="2"/>
        <v>31</v>
      </c>
      <c r="AH10" s="648">
        <f>COUNTIF(C12:AG12,AI10)</f>
        <v>0</v>
      </c>
      <c r="AI10" s="10" t="s">
        <v>6</v>
      </c>
      <c r="AJ10" s="13"/>
      <c r="AK10" s="36" t="s">
        <v>792</v>
      </c>
      <c r="AL10" s="13"/>
      <c r="AM10" s="13"/>
      <c r="AN10" s="13"/>
      <c r="AO10" s="1497" t="s">
        <v>491</v>
      </c>
      <c r="AP10" s="13"/>
      <c r="BZ10" s="359">
        <f t="shared" si="0"/>
        <v>43972</v>
      </c>
      <c r="CA10" s="360">
        <f>CA6+39</f>
        <v>43972</v>
      </c>
      <c r="CB10" s="361" t="s">
        <v>729</v>
      </c>
      <c r="CC10" s="563"/>
      <c r="CD10" s="362" t="s">
        <v>726</v>
      </c>
      <c r="CE10" s="363">
        <f>DATE(CD4,5,1)</f>
        <v>44682</v>
      </c>
    </row>
    <row r="11" spans="1:83" ht="18.75" x14ac:dyDescent="0.25">
      <c r="A11" s="655" t="s">
        <v>800</v>
      </c>
      <c r="B11" s="658">
        <f>COUNTIF(C12:AG12,A11)</f>
        <v>0</v>
      </c>
      <c r="C11" s="5">
        <f>IF(C8="","",WEEKDAY(C8,1))</f>
        <v>4</v>
      </c>
      <c r="D11" s="8">
        <f t="shared" ref="D11:AC11" si="3">IF(D8="","",WEEKDAY(D8,1))</f>
        <v>5</v>
      </c>
      <c r="E11" s="8">
        <f t="shared" si="3"/>
        <v>6</v>
      </c>
      <c r="F11" s="8">
        <f t="shared" si="3"/>
        <v>7</v>
      </c>
      <c r="G11" s="8">
        <f t="shared" si="3"/>
        <v>1</v>
      </c>
      <c r="H11" s="8">
        <f t="shared" si="3"/>
        <v>2</v>
      </c>
      <c r="I11" s="8">
        <f t="shared" si="3"/>
        <v>3</v>
      </c>
      <c r="J11" s="8">
        <f t="shared" si="3"/>
        <v>4</v>
      </c>
      <c r="K11" s="8">
        <f t="shared" si="3"/>
        <v>5</v>
      </c>
      <c r="L11" s="8">
        <f t="shared" si="3"/>
        <v>6</v>
      </c>
      <c r="M11" s="8">
        <f t="shared" si="3"/>
        <v>7</v>
      </c>
      <c r="N11" s="8">
        <f t="shared" si="3"/>
        <v>1</v>
      </c>
      <c r="O11" s="8">
        <f t="shared" si="3"/>
        <v>2</v>
      </c>
      <c r="P11" s="8">
        <f t="shared" si="3"/>
        <v>3</v>
      </c>
      <c r="Q11" s="8">
        <f t="shared" si="3"/>
        <v>4</v>
      </c>
      <c r="R11" s="8">
        <f t="shared" si="3"/>
        <v>5</v>
      </c>
      <c r="S11" s="8">
        <f t="shared" si="3"/>
        <v>6</v>
      </c>
      <c r="T11" s="8">
        <f t="shared" si="3"/>
        <v>7</v>
      </c>
      <c r="U11" s="8">
        <f t="shared" si="3"/>
        <v>1</v>
      </c>
      <c r="V11" s="8">
        <f t="shared" si="3"/>
        <v>2</v>
      </c>
      <c r="W11" s="8">
        <f t="shared" si="3"/>
        <v>3</v>
      </c>
      <c r="X11" s="8">
        <f t="shared" si="3"/>
        <v>4</v>
      </c>
      <c r="Y11" s="8">
        <f t="shared" si="3"/>
        <v>5</v>
      </c>
      <c r="Z11" s="8">
        <f t="shared" si="3"/>
        <v>6</v>
      </c>
      <c r="AA11" s="8">
        <f t="shared" si="3"/>
        <v>7</v>
      </c>
      <c r="AB11" s="8">
        <f t="shared" si="3"/>
        <v>1</v>
      </c>
      <c r="AC11" s="8">
        <f t="shared" si="3"/>
        <v>2</v>
      </c>
      <c r="AD11" s="8">
        <f>IF(AD8="","",WEEKDAY(AD8,1))</f>
        <v>3</v>
      </c>
      <c r="AE11" s="8">
        <f>IF(AE8="","",WEEKDAY(AE8,1))</f>
        <v>4</v>
      </c>
      <c r="AF11" s="8">
        <f t="shared" ref="AF11:AG11" si="4">IF(AF8="","",WEEKDAY(AF8,1))</f>
        <v>5</v>
      </c>
      <c r="AG11" s="644">
        <f t="shared" si="4"/>
        <v>6</v>
      </c>
      <c r="AH11" s="648">
        <f>COUNTIF(C12:AG12,AI11)</f>
        <v>0</v>
      </c>
      <c r="AI11" s="633" t="s">
        <v>799</v>
      </c>
      <c r="AJ11" s="13"/>
      <c r="AK11" s="13"/>
      <c r="AL11" s="13"/>
      <c r="AM11" s="13"/>
      <c r="AN11" s="13"/>
      <c r="AO11" s="1497"/>
      <c r="AP11" s="13"/>
      <c r="AQ11" s="13"/>
      <c r="BZ11" s="359">
        <f t="shared" si="0"/>
        <v>43982</v>
      </c>
      <c r="CA11" s="360">
        <f>CA6+49</f>
        <v>43982</v>
      </c>
      <c r="CB11" s="361" t="s">
        <v>731</v>
      </c>
      <c r="CC11" s="563"/>
      <c r="CD11" s="362" t="s">
        <v>728</v>
      </c>
      <c r="CE11" s="363">
        <f>DATE(CD4,5,8)</f>
        <v>44689</v>
      </c>
    </row>
    <row r="12" spans="1:83" ht="19.5" thickBot="1" x14ac:dyDescent="0.3">
      <c r="A12" s="656" t="s">
        <v>7</v>
      </c>
      <c r="B12" s="659">
        <f>COUNTIF(C12:AG12,A12)</f>
        <v>0</v>
      </c>
      <c r="C12" s="24" t="str">
        <f t="array" ref="C12">IFERROR(INDEX($AK$15:$AN$114,MATCH(1,(C8&gt;=$AM$15:$AM$114)*($AN$15:$AN$114&gt;=C8)*($AK$15:$AK$114=$U$2),0),2),"")</f>
        <v/>
      </c>
      <c r="D12" s="25" t="str">
        <f t="array" ref="D12">IFERROR(INDEX($AK$15:$AN$114,MATCH(1,(D8&gt;=$AM$15:$AM$114)*($AN$15:$AN$114&gt;=D8)*($AK$15:$AK$114=$U$2),0),2),"")</f>
        <v/>
      </c>
      <c r="E12" s="25" t="str">
        <f t="array" ref="E12">IFERROR(INDEX($AK$15:$AN$114,MATCH(1,(E8&gt;=$AM$15:$AM$114)*($AN$15:$AN$114&gt;=E8)*($AK$15:$AK$114=$U$2),0),2),"")</f>
        <v/>
      </c>
      <c r="F12" s="25" t="str">
        <f t="array" ref="F12">IFERROR(INDEX($AK$15:$AN$114,MATCH(1,(F8&gt;=$AM$15:$AM$114)*($AN$15:$AN$114&gt;=F8)*($AK$15:$AK$114=$U$2),0),2),"")</f>
        <v/>
      </c>
      <c r="G12" s="25" t="str">
        <f t="array" ref="G12">IFERROR(INDEX($AK$15:$AN$114,MATCH(1,(G8&gt;=$AM$15:$AM$114)*($AN$15:$AN$114&gt;=G8)*($AK$15:$AK$114=$U$2),0),2),"")</f>
        <v/>
      </c>
      <c r="H12" s="25" t="str">
        <f t="array" ref="H12">IFERROR(INDEX($AK$15:$AN$114,MATCH(1,(H8&gt;=$AM$15:$AM$114)*($AN$15:$AN$114&gt;=H8)*($AK$15:$AK$114=$U$2),0),2),"")</f>
        <v/>
      </c>
      <c r="I12" s="25" t="str">
        <f t="array" ref="I12">IFERROR(INDEX($AK$15:$AN$114,MATCH(1,(I8&gt;=$AM$15:$AM$114)*($AN$15:$AN$114&gt;=I8)*($AK$15:$AK$114=$U$2),0),2),"")</f>
        <v/>
      </c>
      <c r="J12" s="25" t="str">
        <f t="array" ref="J12">IFERROR(INDEX($AK$15:$AN$114,MATCH(1,(J8&gt;=$AM$15:$AM$114)*($AN$15:$AN$114&gt;=J8)*($AK$15:$AK$114=$U$2),0),2),"")</f>
        <v/>
      </c>
      <c r="K12" s="25" t="str">
        <f t="array" ref="K12">IFERROR(INDEX($AK$15:$AN$114,MATCH(1,(K8&gt;=$AM$15:$AM$114)*($AN$15:$AN$114&gt;=K8)*($AK$15:$AK$114=$U$2),0),2),"")</f>
        <v/>
      </c>
      <c r="L12" s="25" t="str">
        <f t="array" ref="L12">IFERROR(INDEX($AK$15:$AN$114,MATCH(1,(L8&gt;=$AM$15:$AM$114)*($AN$15:$AN$114&gt;=L8)*($AK$15:$AK$114=$U$2),0),2),"")</f>
        <v/>
      </c>
      <c r="M12" s="25" t="str">
        <f t="array" ref="M12">IFERROR(INDEX($AK$15:$AN$114,MATCH(1,(M8&gt;=$AM$15:$AM$114)*($AN$15:$AN$114&gt;=M8)*($AK$15:$AK$114=$U$2),0),2),"")</f>
        <v/>
      </c>
      <c r="N12" s="25" t="str">
        <f t="array" ref="N12">IFERROR(INDEX($AK$15:$AN$114,MATCH(1,(N8&gt;=$AM$15:$AM$114)*($AN$15:$AN$114&gt;=N8)*($AK$15:$AK$114=$U$2),0),2),"")</f>
        <v/>
      </c>
      <c r="O12" s="25" t="str">
        <f t="array" ref="O12">IFERROR(INDEX($AK$15:$AN$114,MATCH(1,(O8&gt;=$AM$15:$AM$114)*($AN$15:$AN$114&gt;=O8)*($AK$15:$AK$114=$U$2),0),2),"")</f>
        <v/>
      </c>
      <c r="P12" s="25" t="str">
        <f t="array" ref="P12">IFERROR(INDEX($AK$15:$AN$114,MATCH(1,(P8&gt;=$AM$15:$AM$114)*($AN$15:$AN$114&gt;=P8)*($AK$15:$AK$114=$U$2),0),2),"")</f>
        <v/>
      </c>
      <c r="Q12" s="25" t="str">
        <f t="array" ref="Q12">IFERROR(INDEX($AK$15:$AN$114,MATCH(1,(Q8&gt;=$AM$15:$AM$114)*($AN$15:$AN$114&gt;=Q8)*($AK$15:$AK$114=$U$2),0),2),"")</f>
        <v/>
      </c>
      <c r="R12" s="25" t="str">
        <f t="array" ref="R12">IFERROR(INDEX($AK$15:$AN$114,MATCH(1,(R8&gt;=$AM$15:$AM$114)*($AN$15:$AN$114&gt;=R8)*($AK$15:$AK$114=$U$2),0),2),"")</f>
        <v/>
      </c>
      <c r="S12" s="25" t="str">
        <f t="array" ref="S12">IFERROR(INDEX($AK$15:$AN$114,MATCH(1,(S8&gt;=$AM$15:$AM$114)*($AN$15:$AN$114&gt;=S8)*($AK$15:$AK$114=$U$2),0),2),"")</f>
        <v/>
      </c>
      <c r="T12" s="25" t="str">
        <f t="array" ref="T12">IFERROR(INDEX($AK$15:$AN$114,MATCH(1,(T8&gt;=$AM$15:$AM$114)*($AN$15:$AN$114&gt;=T8)*($AK$15:$AK$114=$U$2),0),2),"")</f>
        <v/>
      </c>
      <c r="U12" s="25" t="str">
        <f t="array" ref="U12">IFERROR(INDEX($AK$15:$AN$114,MATCH(1,(U8&gt;=$AM$15:$AM$114)*($AN$15:$AN$114&gt;=U8)*($AK$15:$AK$114=$U$2),0),2),"")</f>
        <v/>
      </c>
      <c r="V12" s="25" t="str">
        <f t="array" ref="V12">IFERROR(INDEX($AK$15:$AN$114,MATCH(1,(V8&gt;=$AM$15:$AM$114)*($AN$15:$AN$114&gt;=V8)*($AK$15:$AK$114=$U$2),0),2),"")</f>
        <v/>
      </c>
      <c r="W12" s="25" t="str">
        <f t="array" ref="W12">IFERROR(INDEX($AK$15:$AN$114,MATCH(1,(W8&gt;=$AM$15:$AM$114)*($AN$15:$AN$114&gt;=W8)*($AK$15:$AK$114=$U$2),0),2),"")</f>
        <v/>
      </c>
      <c r="X12" s="25" t="str">
        <f t="array" ref="X12">IFERROR(INDEX($AK$15:$AN$114,MATCH(1,(X8&gt;=$AM$15:$AM$114)*($AN$15:$AN$114&gt;=X8)*($AK$15:$AK$114=$U$2),0),2),"")</f>
        <v/>
      </c>
      <c r="Y12" s="25" t="str">
        <f t="array" ref="Y12">IFERROR(INDEX($AK$15:$AN$114,MATCH(1,(Y8&gt;=$AM$15:$AM$114)*($AN$15:$AN$114&gt;=Y8)*($AK$15:$AK$114=$U$2),0),2),"")</f>
        <v/>
      </c>
      <c r="Z12" s="25" t="str">
        <f t="array" ref="Z12">IFERROR(INDEX($AK$15:$AN$114,MATCH(1,(Z8&gt;=$AM$15:$AM$114)*($AN$15:$AN$114&gt;=Z8)*($AK$15:$AK$114=$U$2),0),2),"")</f>
        <v/>
      </c>
      <c r="AA12" s="25" t="str">
        <f t="array" ref="AA12">IFERROR(INDEX($AK$15:$AN$114,MATCH(1,(AA8&gt;=$AM$15:$AM$114)*($AN$15:$AN$114&gt;=AA8)*($AK$15:$AK$114=$U$2),0),2),"")</f>
        <v/>
      </c>
      <c r="AB12" s="25" t="str">
        <f t="array" ref="AB12">IFERROR(INDEX($AK$15:$AN$114,MATCH(1,(AB8&gt;=$AM$15:$AM$114)*($AN$15:$AN$114&gt;=AB8)*($AK$15:$AK$114=$U$2),0),2),"")</f>
        <v/>
      </c>
      <c r="AC12" s="25" t="str">
        <f t="array" ref="AC12">IFERROR(INDEX($AK$15:$AN$114,MATCH(1,(AC8&gt;=$AM$15:$AM$114)*($AN$15:$AN$114&gt;=AC8)*($AK$15:$AK$114=$U$2),0),2),"")</f>
        <v/>
      </c>
      <c r="AD12" s="25" t="str">
        <f t="array" ref="AD12">IFERROR(INDEX($AK$15:$AN$114,MATCH(1,(AD8&gt;=$AM$15:$AM$114)*($AN$15:$AN$114&gt;=AD8)*($AK$15:$AK$114=$U$2),0),2),"")</f>
        <v/>
      </c>
      <c r="AE12" s="25" t="str">
        <f t="array" ref="AE12">IFERROR(INDEX($AK$15:$AN$114,MATCH(1,(AE8&gt;=$AM$15:$AM$114)*($AN$15:$AN$114&gt;=AE8)*($AK$15:$AK$114=$U$2),0),2),"")</f>
        <v/>
      </c>
      <c r="AF12" s="25" t="str">
        <f t="array" ref="AF12">IFERROR(INDEX($AK$15:$AN$114,MATCH(1,(AF8&gt;=$AM$15:$AM$114)*($AN$15:$AN$114&gt;=AF8)*($AK$15:$AK$114=$U$2),0),2),"")</f>
        <v/>
      </c>
      <c r="AG12" s="645" t="str">
        <f t="array" ref="AG12">IFERROR(INDEX($AK$15:$AN$114,MATCH(1,(AG8&gt;=$AM$15:$AM$114)*($AN$15:$AN$114&gt;=AG8)*($AK$15:$AK$114=$U$2),0),2),"")</f>
        <v/>
      </c>
      <c r="AH12" s="648">
        <f>COUNTIF(C12:AG12,AI12)</f>
        <v>0</v>
      </c>
      <c r="AI12" s="639" t="s">
        <v>362</v>
      </c>
      <c r="AJ12" s="13"/>
      <c r="AK12" s="623" t="s">
        <v>828</v>
      </c>
      <c r="AL12" s="13"/>
      <c r="AM12" s="13"/>
      <c r="AN12" s="13"/>
      <c r="AP12" s="13"/>
      <c r="AQ12" s="13"/>
      <c r="BZ12" s="359">
        <f t="shared" si="0"/>
        <v>43983</v>
      </c>
      <c r="CA12" s="360">
        <f>CA11+1</f>
        <v>43983</v>
      </c>
      <c r="CB12" s="361" t="s">
        <v>732</v>
      </c>
      <c r="CC12" s="563"/>
      <c r="CD12" s="362" t="s">
        <v>729</v>
      </c>
      <c r="CE12" s="363">
        <f>CE8+39</f>
        <v>44707</v>
      </c>
    </row>
    <row r="13" spans="1:83" ht="14.25" customHeight="1" x14ac:dyDescent="0.25">
      <c r="A13" s="651"/>
      <c r="B13" s="20">
        <f>DATE($C$2,MONTH(1&amp;"/"&amp;C14),1)</f>
        <v>43862</v>
      </c>
      <c r="C13" s="14">
        <f>B13</f>
        <v>43862</v>
      </c>
      <c r="D13" s="14">
        <f>IFERROR(IF(C13+1&gt;$B$14,"",C13+1),"")</f>
        <v>43863</v>
      </c>
      <c r="E13" s="14">
        <f t="shared" ref="E13:AG13" si="5">IFERROR(IF(D13+1&gt;$B$14,"",D13+1),"")</f>
        <v>43864</v>
      </c>
      <c r="F13" s="14">
        <f t="shared" si="5"/>
        <v>43865</v>
      </c>
      <c r="G13" s="14">
        <f t="shared" si="5"/>
        <v>43866</v>
      </c>
      <c r="H13" s="14">
        <f t="shared" si="5"/>
        <v>43867</v>
      </c>
      <c r="I13" s="14">
        <f t="shared" si="5"/>
        <v>43868</v>
      </c>
      <c r="J13" s="14">
        <f t="shared" si="5"/>
        <v>43869</v>
      </c>
      <c r="K13" s="14">
        <f t="shared" si="5"/>
        <v>43870</v>
      </c>
      <c r="L13" s="14">
        <f t="shared" si="5"/>
        <v>43871</v>
      </c>
      <c r="M13" s="14">
        <f t="shared" si="5"/>
        <v>43872</v>
      </c>
      <c r="N13" s="14">
        <f t="shared" si="5"/>
        <v>43873</v>
      </c>
      <c r="O13" s="14">
        <f t="shared" si="5"/>
        <v>43874</v>
      </c>
      <c r="P13" s="14">
        <f t="shared" si="5"/>
        <v>43875</v>
      </c>
      <c r="Q13" s="14">
        <f t="shared" si="5"/>
        <v>43876</v>
      </c>
      <c r="R13" s="14">
        <f t="shared" si="5"/>
        <v>43877</v>
      </c>
      <c r="S13" s="14">
        <f t="shared" si="5"/>
        <v>43878</v>
      </c>
      <c r="T13" s="14">
        <f t="shared" si="5"/>
        <v>43879</v>
      </c>
      <c r="U13" s="14">
        <f t="shared" si="5"/>
        <v>43880</v>
      </c>
      <c r="V13" s="14">
        <f t="shared" si="5"/>
        <v>43881</v>
      </c>
      <c r="W13" s="14">
        <f t="shared" si="5"/>
        <v>43882</v>
      </c>
      <c r="X13" s="14">
        <f t="shared" si="5"/>
        <v>43883</v>
      </c>
      <c r="Y13" s="14">
        <f t="shared" si="5"/>
        <v>43884</v>
      </c>
      <c r="Z13" s="14">
        <f t="shared" si="5"/>
        <v>43885</v>
      </c>
      <c r="AA13" s="14">
        <f t="shared" si="5"/>
        <v>43886</v>
      </c>
      <c r="AB13" s="14">
        <f t="shared" si="5"/>
        <v>43887</v>
      </c>
      <c r="AC13" s="14">
        <f t="shared" si="5"/>
        <v>43888</v>
      </c>
      <c r="AD13" s="14">
        <f t="shared" si="5"/>
        <v>43889</v>
      </c>
      <c r="AE13" s="14">
        <f t="shared" si="5"/>
        <v>43890</v>
      </c>
      <c r="AF13" s="14" t="str">
        <f t="shared" si="5"/>
        <v/>
      </c>
      <c r="AG13" s="642" t="str">
        <f t="shared" si="5"/>
        <v/>
      </c>
      <c r="AH13" s="647">
        <f>COUNTIF(C17:AG17,AI13)</f>
        <v>0</v>
      </c>
      <c r="AI13" s="640" t="s">
        <v>8</v>
      </c>
      <c r="AJ13" s="13"/>
      <c r="AK13" s="1473" t="s">
        <v>798</v>
      </c>
      <c r="AL13" s="1473"/>
      <c r="AM13" s="1473"/>
      <c r="AN13" s="1473"/>
      <c r="AO13" s="1473"/>
      <c r="AQ13" s="1472" t="s">
        <v>833</v>
      </c>
      <c r="AR13" s="1472"/>
      <c r="BZ13" s="359">
        <f t="shared" si="0"/>
        <v>44026</v>
      </c>
      <c r="CA13" s="360">
        <f>DATE(BZ4,7,14)</f>
        <v>44026</v>
      </c>
      <c r="CB13" s="361" t="s">
        <v>733</v>
      </c>
      <c r="CC13" s="563"/>
      <c r="CD13" s="362" t="s">
        <v>731</v>
      </c>
      <c r="CE13" s="363">
        <f>CE8+49</f>
        <v>44717</v>
      </c>
    </row>
    <row r="14" spans="1:83" ht="18.75" x14ac:dyDescent="0.25">
      <c r="A14" s="652"/>
      <c r="B14" s="21">
        <f>EOMONTH(B13,0)</f>
        <v>43890</v>
      </c>
      <c r="C14" s="1479" t="s">
        <v>1038</v>
      </c>
      <c r="D14" s="1480"/>
      <c r="E14" s="1480"/>
      <c r="F14" s="1480"/>
      <c r="G14" s="1480"/>
      <c r="H14" s="1480"/>
      <c r="I14" s="1480"/>
      <c r="J14" s="1480"/>
      <c r="K14" s="1480"/>
      <c r="L14" s="1480"/>
      <c r="M14" s="1480"/>
      <c r="N14" s="1480"/>
      <c r="O14" s="1480"/>
      <c r="P14" s="1480"/>
      <c r="Q14" s="1480"/>
      <c r="R14" s="1480"/>
      <c r="S14" s="1480"/>
      <c r="T14" s="1480"/>
      <c r="U14" s="1480"/>
      <c r="V14" s="1480"/>
      <c r="W14" s="1480"/>
      <c r="X14" s="1480"/>
      <c r="Y14" s="1480"/>
      <c r="Z14" s="1480"/>
      <c r="AA14" s="1480"/>
      <c r="AB14" s="1480"/>
      <c r="AC14" s="1480"/>
      <c r="AD14" s="1480"/>
      <c r="AE14" s="1480"/>
      <c r="AF14" s="1480"/>
      <c r="AG14" s="1480"/>
      <c r="AH14" s="648">
        <f>COUNTIF(C17:AG17,AI14)</f>
        <v>0</v>
      </c>
      <c r="AI14" s="629" t="s">
        <v>360</v>
      </c>
      <c r="AJ14" s="13"/>
      <c r="AK14" t="s">
        <v>0</v>
      </c>
      <c r="AL14" t="s">
        <v>3</v>
      </c>
      <c r="AM14" t="s">
        <v>1</v>
      </c>
      <c r="AN14" t="s">
        <v>2</v>
      </c>
      <c r="AO14" s="30" t="s">
        <v>54</v>
      </c>
      <c r="AQ14" t="s">
        <v>10</v>
      </c>
      <c r="AR14" t="s">
        <v>11</v>
      </c>
      <c r="BZ14" s="359">
        <f t="shared" si="0"/>
        <v>44058</v>
      </c>
      <c r="CA14" s="360">
        <f>DATE(BZ4,8,15)</f>
        <v>44058</v>
      </c>
      <c r="CB14" s="361" t="s">
        <v>586</v>
      </c>
      <c r="CC14" s="563"/>
      <c r="CD14" s="362" t="s">
        <v>732</v>
      </c>
      <c r="CE14" s="363">
        <f>CE8+50</f>
        <v>44718</v>
      </c>
    </row>
    <row r="15" spans="1:83" ht="18.75" x14ac:dyDescent="0.25">
      <c r="A15" s="654" t="s">
        <v>662</v>
      </c>
      <c r="B15" s="657">
        <f>COUNTIF(C17:AG17,A15)</f>
        <v>0</v>
      </c>
      <c r="C15" s="6">
        <f t="shared" ref="C15:AG15" si="6">IFERROR(DAY(C13),"")</f>
        <v>1</v>
      </c>
      <c r="D15" s="3">
        <f t="shared" si="6"/>
        <v>2</v>
      </c>
      <c r="E15" s="3">
        <f t="shared" si="6"/>
        <v>3</v>
      </c>
      <c r="F15" s="3">
        <f t="shared" si="6"/>
        <v>4</v>
      </c>
      <c r="G15" s="3">
        <f t="shared" si="6"/>
        <v>5</v>
      </c>
      <c r="H15" s="3">
        <f t="shared" si="6"/>
        <v>6</v>
      </c>
      <c r="I15" s="3">
        <f t="shared" si="6"/>
        <v>7</v>
      </c>
      <c r="J15" s="3">
        <f t="shared" si="6"/>
        <v>8</v>
      </c>
      <c r="K15" s="3">
        <f t="shared" si="6"/>
        <v>9</v>
      </c>
      <c r="L15" s="3">
        <f t="shared" si="6"/>
        <v>10</v>
      </c>
      <c r="M15" s="3">
        <f t="shared" si="6"/>
        <v>11</v>
      </c>
      <c r="N15" s="3">
        <f t="shared" si="6"/>
        <v>12</v>
      </c>
      <c r="O15" s="3">
        <f t="shared" si="6"/>
        <v>13</v>
      </c>
      <c r="P15" s="3">
        <f t="shared" si="6"/>
        <v>14</v>
      </c>
      <c r="Q15" s="3">
        <f t="shared" si="6"/>
        <v>15</v>
      </c>
      <c r="R15" s="3">
        <f t="shared" si="6"/>
        <v>16</v>
      </c>
      <c r="S15" s="3">
        <f t="shared" si="6"/>
        <v>17</v>
      </c>
      <c r="T15" s="3">
        <f t="shared" si="6"/>
        <v>18</v>
      </c>
      <c r="U15" s="3">
        <f t="shared" si="6"/>
        <v>19</v>
      </c>
      <c r="V15" s="3">
        <f t="shared" si="6"/>
        <v>20</v>
      </c>
      <c r="W15" s="3">
        <f t="shared" si="6"/>
        <v>21</v>
      </c>
      <c r="X15" s="3">
        <f t="shared" si="6"/>
        <v>22</v>
      </c>
      <c r="Y15" s="3">
        <f t="shared" si="6"/>
        <v>23</v>
      </c>
      <c r="Z15" s="3">
        <f t="shared" si="6"/>
        <v>24</v>
      </c>
      <c r="AA15" s="3">
        <f t="shared" si="6"/>
        <v>25</v>
      </c>
      <c r="AB15" s="3">
        <f t="shared" si="6"/>
        <v>26</v>
      </c>
      <c r="AC15" s="3">
        <f t="shared" si="6"/>
        <v>27</v>
      </c>
      <c r="AD15" s="3">
        <f t="shared" si="6"/>
        <v>28</v>
      </c>
      <c r="AE15" s="3">
        <f t="shared" si="6"/>
        <v>29</v>
      </c>
      <c r="AF15" s="3" t="str">
        <f t="shared" si="6"/>
        <v/>
      </c>
      <c r="AG15" s="643" t="str">
        <f t="shared" si="6"/>
        <v/>
      </c>
      <c r="AH15" s="648">
        <f>COUNTIF(C17:AG17,AI15)</f>
        <v>0</v>
      </c>
      <c r="AI15" s="10" t="s">
        <v>6</v>
      </c>
      <c r="AJ15" s="13">
        <v>1</v>
      </c>
      <c r="AK15" t="s">
        <v>4</v>
      </c>
      <c r="AL15" s="630" t="s">
        <v>662</v>
      </c>
      <c r="AM15" s="31">
        <v>43862</v>
      </c>
      <c r="AN15" s="31">
        <v>43865</v>
      </c>
      <c r="AO15" s="635">
        <f>Absences26810126[[#This Row],[debut]]</f>
        <v>43862</v>
      </c>
      <c r="AQ15" s="597" t="s">
        <v>369</v>
      </c>
      <c r="AR15" s="630" t="s">
        <v>662</v>
      </c>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Z15" s="359">
        <f t="shared" si="0"/>
        <v>44136</v>
      </c>
      <c r="CA15" s="360">
        <f>DATE(BZ4,11,1)</f>
        <v>44136</v>
      </c>
      <c r="CB15" s="361" t="s">
        <v>735</v>
      </c>
      <c r="CC15" s="563"/>
      <c r="CD15" s="362" t="s">
        <v>733</v>
      </c>
      <c r="CE15" s="363">
        <f>DATE(CD4,7,14)</f>
        <v>44756</v>
      </c>
    </row>
    <row r="16" spans="1:83" ht="18.75" x14ac:dyDescent="0.25">
      <c r="A16" s="655" t="s">
        <v>800</v>
      </c>
      <c r="B16" s="658">
        <f>COUNTIF(C17:AG17,A16)</f>
        <v>0</v>
      </c>
      <c r="C16" s="5">
        <f t="shared" ref="C16:AC16" si="7">IF(C13="","",WEEKDAY(C13,1))</f>
        <v>7</v>
      </c>
      <c r="D16" s="8">
        <f t="shared" si="7"/>
        <v>1</v>
      </c>
      <c r="E16" s="8">
        <f t="shared" si="7"/>
        <v>2</v>
      </c>
      <c r="F16" s="8">
        <f t="shared" si="7"/>
        <v>3</v>
      </c>
      <c r="G16" s="8">
        <f t="shared" si="7"/>
        <v>4</v>
      </c>
      <c r="H16" s="8">
        <f t="shared" si="7"/>
        <v>5</v>
      </c>
      <c r="I16" s="8">
        <f t="shared" si="7"/>
        <v>6</v>
      </c>
      <c r="J16" s="8">
        <f t="shared" si="7"/>
        <v>7</v>
      </c>
      <c r="K16" s="8">
        <f t="shared" si="7"/>
        <v>1</v>
      </c>
      <c r="L16" s="8">
        <f t="shared" si="7"/>
        <v>2</v>
      </c>
      <c r="M16" s="8">
        <f t="shared" si="7"/>
        <v>3</v>
      </c>
      <c r="N16" s="8">
        <f t="shared" si="7"/>
        <v>4</v>
      </c>
      <c r="O16" s="8">
        <f t="shared" si="7"/>
        <v>5</v>
      </c>
      <c r="P16" s="8">
        <f t="shared" si="7"/>
        <v>6</v>
      </c>
      <c r="Q16" s="8">
        <f t="shared" si="7"/>
        <v>7</v>
      </c>
      <c r="R16" s="8">
        <f t="shared" si="7"/>
        <v>1</v>
      </c>
      <c r="S16" s="8">
        <f t="shared" si="7"/>
        <v>2</v>
      </c>
      <c r="T16" s="8">
        <f t="shared" si="7"/>
        <v>3</v>
      </c>
      <c r="U16" s="8">
        <f t="shared" si="7"/>
        <v>4</v>
      </c>
      <c r="V16" s="8">
        <f t="shared" si="7"/>
        <v>5</v>
      </c>
      <c r="W16" s="8">
        <f t="shared" si="7"/>
        <v>6</v>
      </c>
      <c r="X16" s="8">
        <f t="shared" si="7"/>
        <v>7</v>
      </c>
      <c r="Y16" s="8">
        <f t="shared" si="7"/>
        <v>1</v>
      </c>
      <c r="Z16" s="8">
        <f t="shared" si="7"/>
        <v>2</v>
      </c>
      <c r="AA16" s="8">
        <f t="shared" si="7"/>
        <v>3</v>
      </c>
      <c r="AB16" s="8">
        <f t="shared" si="7"/>
        <v>4</v>
      </c>
      <c r="AC16" s="8">
        <f t="shared" si="7"/>
        <v>5</v>
      </c>
      <c r="AD16" s="8">
        <f>IF(AD13="","",WEEKDAY(AD13,1))</f>
        <v>6</v>
      </c>
      <c r="AE16" s="8">
        <f>IF(AE13="","",WEEKDAY(AE13,1))</f>
        <v>7</v>
      </c>
      <c r="AF16" s="8" t="str">
        <f t="shared" ref="AF16:AG16" si="8">IF(AF13="","",WEEKDAY(AF13,1))</f>
        <v/>
      </c>
      <c r="AG16" s="644" t="str">
        <f t="shared" si="8"/>
        <v/>
      </c>
      <c r="AH16" s="648">
        <f>COUNTIF(C17:AG17,AI16)</f>
        <v>0</v>
      </c>
      <c r="AI16" s="633" t="s">
        <v>799</v>
      </c>
      <c r="AJ16" s="13">
        <v>2</v>
      </c>
      <c r="AK16" t="s">
        <v>5</v>
      </c>
      <c r="AL16" s="631" t="s">
        <v>800</v>
      </c>
      <c r="AM16" s="31">
        <v>43897</v>
      </c>
      <c r="AN16" s="31">
        <v>43902</v>
      </c>
      <c r="AO16" s="635">
        <f>Absences26810126[[#This Row],[debut]]</f>
        <v>43897</v>
      </c>
      <c r="AQ16" s="608" t="s">
        <v>370</v>
      </c>
      <c r="AR16" s="631" t="s">
        <v>800</v>
      </c>
      <c r="BZ16" s="359">
        <f t="shared" si="0"/>
        <v>44146</v>
      </c>
      <c r="CA16" s="360">
        <f>DATE(BZ4,11,11)</f>
        <v>44146</v>
      </c>
      <c r="CB16" s="361" t="s">
        <v>587</v>
      </c>
      <c r="CC16" s="563"/>
      <c r="CD16" s="362" t="s">
        <v>586</v>
      </c>
      <c r="CE16" s="363">
        <f>DATE(CD4,8,15)</f>
        <v>44788</v>
      </c>
    </row>
    <row r="17" spans="1:83" ht="19.5" thickBot="1" x14ac:dyDescent="0.3">
      <c r="A17" s="656" t="s">
        <v>7</v>
      </c>
      <c r="B17" s="659">
        <f>COUNTIF(C17:AG17,A17)</f>
        <v>8</v>
      </c>
      <c r="C17" s="24" t="str">
        <f t="array" ref="C17">IFERROR(INDEX($AK$15:$AN$114,MATCH(1,(C13&gt;=$AM$15:$AM$114)*($AN$15:$AN$114&gt;=C13)*($AK$15:$AK$114=$U$2),0),2),"")</f>
        <v/>
      </c>
      <c r="D17" s="25" t="str">
        <f t="array" ref="D17">IFERROR(INDEX($AK$15:$AN$114,MATCH(1,(D13&gt;=$AM$15:$AM$114)*($AN$15:$AN$114&gt;=D13)*($AK$15:$AK$114=$U$2),0),2),"")</f>
        <v/>
      </c>
      <c r="E17" s="25" t="str">
        <f t="array" ref="E17">IFERROR(INDEX($AK$15:$AN$114,MATCH(1,(E13&gt;=$AM$15:$AM$114)*($AN$15:$AN$114&gt;=E13)*($AK$15:$AK$114=$U$2),0),2),"")</f>
        <v/>
      </c>
      <c r="F17" s="25" t="str">
        <f t="array" ref="F17">IFERROR(INDEX($AK$15:$AN$114,MATCH(1,(F13&gt;=$AM$15:$AM$114)*($AN$15:$AN$114&gt;=F13)*($AK$15:$AK$114=$U$2),0),2),"")</f>
        <v/>
      </c>
      <c r="G17" s="25" t="str">
        <f t="array" ref="G17">IFERROR(INDEX($AK$15:$AN$114,MATCH(1,(G13&gt;=$AM$15:$AM$114)*($AN$15:$AN$114&gt;=G13)*($AK$15:$AK$114=$U$2),0),2),"")</f>
        <v/>
      </c>
      <c r="H17" s="25" t="str">
        <f t="array" ref="H17">IFERROR(INDEX($AK$15:$AN$114,MATCH(1,(H13&gt;=$AM$15:$AM$114)*($AN$15:$AN$114&gt;=H13)*($AK$15:$AK$114=$U$2),0),2),"")</f>
        <v/>
      </c>
      <c r="I17" s="25" t="str">
        <f t="array" ref="I17">IFERROR(INDEX($AK$15:$AN$114,MATCH(1,(I13&gt;=$AM$15:$AM$114)*($AN$15:$AN$114&gt;=I13)*($AK$15:$AK$114=$U$2),0),2),"")</f>
        <v/>
      </c>
      <c r="J17" s="25" t="str">
        <f t="array" ref="J17">IFERROR(INDEX($AK$15:$AN$114,MATCH(1,(J13&gt;=$AM$15:$AM$114)*($AN$15:$AN$114&gt;=J13)*($AK$15:$AK$114=$U$2),0),2),"")</f>
        <v>C</v>
      </c>
      <c r="K17" s="25" t="str">
        <f t="array" ref="K17">IFERROR(INDEX($AK$15:$AN$114,MATCH(1,(K13&gt;=$AM$15:$AM$114)*($AN$15:$AN$114&gt;=K13)*($AK$15:$AK$114=$U$2),0),2),"")</f>
        <v>C</v>
      </c>
      <c r="L17" s="25" t="str">
        <f t="array" ref="L17">IFERROR(INDEX($AK$15:$AN$114,MATCH(1,(L13&gt;=$AM$15:$AM$114)*($AN$15:$AN$114&gt;=L13)*($AK$15:$AK$114=$U$2),0),2),"")</f>
        <v>C</v>
      </c>
      <c r="M17" s="25" t="str">
        <f t="array" ref="M17">IFERROR(INDEX($AK$15:$AN$114,MATCH(1,(M13&gt;=$AM$15:$AM$114)*($AN$15:$AN$114&gt;=M13)*($AK$15:$AK$114=$U$2),0),2),"")</f>
        <v>C</v>
      </c>
      <c r="N17" s="25" t="str">
        <f t="array" ref="N17">IFERROR(INDEX($AK$15:$AN$114,MATCH(1,(N13&gt;=$AM$15:$AM$114)*($AN$15:$AN$114&gt;=N13)*($AK$15:$AK$114=$U$2),0),2),"")</f>
        <v>C</v>
      </c>
      <c r="O17" s="25" t="str">
        <f t="array" ref="O17">IFERROR(INDEX($AK$15:$AN$114,MATCH(1,(O13&gt;=$AM$15:$AM$114)*($AN$15:$AN$114&gt;=O13)*($AK$15:$AK$114=$U$2),0),2),"")</f>
        <v>C</v>
      </c>
      <c r="P17" s="25" t="str">
        <f t="array" ref="P17">IFERROR(INDEX($AK$15:$AN$114,MATCH(1,(P13&gt;=$AM$15:$AM$114)*($AN$15:$AN$114&gt;=P13)*($AK$15:$AK$114=$U$2),0),2),"")</f>
        <v>C</v>
      </c>
      <c r="Q17" s="25" t="str">
        <f t="array" ref="Q17">IFERROR(INDEX($AK$15:$AN$114,MATCH(1,(Q13&gt;=$AM$15:$AM$114)*($AN$15:$AN$114&gt;=Q13)*($AK$15:$AK$114=$U$2),0),2),"")</f>
        <v>C</v>
      </c>
      <c r="R17" s="25" t="str">
        <f t="array" ref="R17">IFERROR(INDEX($AK$15:$AN$114,MATCH(1,(R13&gt;=$AM$15:$AM$114)*($AN$15:$AN$114&gt;=R13)*($AK$15:$AK$114=$U$2),0),2),"")</f>
        <v/>
      </c>
      <c r="S17" s="25" t="str">
        <f t="array" ref="S17">IFERROR(INDEX($AK$15:$AN$114,MATCH(1,(S13&gt;=$AM$15:$AM$114)*($AN$15:$AN$114&gt;=S13)*($AK$15:$AK$114=$U$2),0),2),"")</f>
        <v/>
      </c>
      <c r="T17" s="25" t="str">
        <f t="array" ref="T17">IFERROR(INDEX($AK$15:$AN$114,MATCH(1,(T13&gt;=$AM$15:$AM$114)*($AN$15:$AN$114&gt;=T13)*($AK$15:$AK$114=$U$2),0),2),"")</f>
        <v/>
      </c>
      <c r="U17" s="25" t="str">
        <f t="array" ref="U17">IFERROR(INDEX($AK$15:$AN$114,MATCH(1,(U13&gt;=$AM$15:$AM$114)*($AN$15:$AN$114&gt;=U13)*($AK$15:$AK$114=$U$2),0),2),"")</f>
        <v/>
      </c>
      <c r="V17" s="25" t="str">
        <f t="array" ref="V17">IFERROR(INDEX($AK$15:$AN$114,MATCH(1,(V13&gt;=$AM$15:$AM$114)*($AN$15:$AN$114&gt;=V13)*($AK$15:$AK$114=$U$2),0),2),"")</f>
        <v/>
      </c>
      <c r="W17" s="25" t="str">
        <f t="array" ref="W17">IFERROR(INDEX($AK$15:$AN$114,MATCH(1,(W13&gt;=$AM$15:$AM$114)*($AN$15:$AN$114&gt;=W13)*($AK$15:$AK$114=$U$2),0),2),"")</f>
        <v/>
      </c>
      <c r="X17" s="25" t="str">
        <f t="array" ref="X17">IFERROR(INDEX($AK$15:$AN$114,MATCH(1,(X13&gt;=$AM$15:$AM$114)*($AN$15:$AN$114&gt;=X13)*($AK$15:$AK$114=$U$2),0),2),"")</f>
        <v/>
      </c>
      <c r="Y17" s="25" t="str">
        <f t="array" ref="Y17">IFERROR(INDEX($AK$15:$AN$114,MATCH(1,(Y13&gt;=$AM$15:$AM$114)*($AN$15:$AN$114&gt;=Y13)*($AK$15:$AK$114=$U$2),0),2),"")</f>
        <v/>
      </c>
      <c r="Z17" s="25" t="str">
        <f t="array" ref="Z17">IFERROR(INDEX($AK$15:$AN$114,MATCH(1,(Z13&gt;=$AM$15:$AM$114)*($AN$15:$AN$114&gt;=Z13)*($AK$15:$AK$114=$U$2),0),2),"")</f>
        <v/>
      </c>
      <c r="AA17" s="25" t="str">
        <f t="array" ref="AA17">IFERROR(INDEX($AK$15:$AN$114,MATCH(1,(AA13&gt;=$AM$15:$AM$114)*($AN$15:$AN$114&gt;=AA13)*($AK$15:$AK$114=$U$2),0),2),"")</f>
        <v/>
      </c>
      <c r="AB17" s="25" t="str">
        <f t="array" ref="AB17">IFERROR(INDEX($AK$15:$AN$114,MATCH(1,(AB13&gt;=$AM$15:$AM$114)*($AN$15:$AN$114&gt;=AB13)*($AK$15:$AK$114=$U$2),0),2),"")</f>
        <v/>
      </c>
      <c r="AC17" s="25" t="str">
        <f t="array" ref="AC17">IFERROR(INDEX($AK$15:$AN$114,MATCH(1,(AC13&gt;=$AM$15:$AM$114)*($AN$15:$AN$114&gt;=AC13)*($AK$15:$AK$114=$U$2),0),2),"")</f>
        <v/>
      </c>
      <c r="AD17" s="25" t="str">
        <f t="array" ref="AD17">IFERROR(INDEX($AK$15:$AN$114,MATCH(1,(AD13&gt;=$AM$15:$AM$114)*($AN$15:$AN$114&gt;=AD13)*($AK$15:$AK$114=$U$2),0),2),"")</f>
        <v/>
      </c>
      <c r="AE17" s="25" t="str">
        <f t="array" ref="AE17">IFERROR(INDEX($AK$15:$AN$114,MATCH(1,(AE13&gt;=$AM$15:$AM$114)*($AN$15:$AN$114&gt;=AE13)*($AK$15:$AK$114=$U$2),0),2),"")</f>
        <v/>
      </c>
      <c r="AF17" s="25" t="str">
        <f t="array" ref="AF17">IFERROR(INDEX($AK$15:$AN$114,MATCH(1,(AF13&gt;=$AM$15:$AM$114)*($AN$15:$AN$114&gt;=AF13)*($AK$15:$AK$114=$U$2),0),2),"")</f>
        <v/>
      </c>
      <c r="AG17" s="645" t="str">
        <f t="array" ref="AG17">IFERROR(INDEX($AK$15:$AN$114,MATCH(1,(AG13&gt;=$AM$15:$AM$114)*($AN$15:$AN$114&gt;=AG13)*($AK$15:$AK$114=$U$2),0),2),"")</f>
        <v/>
      </c>
      <c r="AH17" s="648">
        <f>COUNTIF(C17:AG17,AI17)</f>
        <v>0</v>
      </c>
      <c r="AI17" s="639" t="s">
        <v>362</v>
      </c>
      <c r="AJ17" s="13">
        <v>3</v>
      </c>
      <c r="AK17" t="s">
        <v>5</v>
      </c>
      <c r="AL17" s="632" t="s">
        <v>7</v>
      </c>
      <c r="AM17" s="31">
        <v>43869</v>
      </c>
      <c r="AN17" s="31">
        <v>43876</v>
      </c>
      <c r="AO17" s="635">
        <f>Absences26810126[[#This Row],[debut]]</f>
        <v>43869</v>
      </c>
      <c r="AQ17" s="597" t="s">
        <v>374</v>
      </c>
      <c r="AR17" s="632" t="s">
        <v>7</v>
      </c>
      <c r="BZ17" s="359">
        <f t="shared" si="0"/>
        <v>44190</v>
      </c>
      <c r="CA17" s="360">
        <f>DATE(BZ4,12,25)</f>
        <v>44190</v>
      </c>
      <c r="CB17" s="361" t="s">
        <v>723</v>
      </c>
      <c r="CC17" s="563"/>
      <c r="CD17" s="362" t="s">
        <v>735</v>
      </c>
      <c r="CE17" s="363">
        <f>DATE(CD4,11,1)</f>
        <v>44866</v>
      </c>
    </row>
    <row r="18" spans="1:83" ht="14.25" customHeight="1" x14ac:dyDescent="0.25">
      <c r="A18" s="651"/>
      <c r="B18" s="20">
        <f>DATE($C$2,MONTH(1&amp;"/"&amp;C19),1)</f>
        <v>43891</v>
      </c>
      <c r="C18" s="14">
        <f>B18</f>
        <v>43891</v>
      </c>
      <c r="D18" s="14">
        <f>IFERROR(IF(C18+1&gt;$B$19,"",C18+1),"")</f>
        <v>43892</v>
      </c>
      <c r="E18" s="14">
        <f t="shared" ref="E18:AG18" si="9">IFERROR(IF(D18+1&gt;$B$19,"",D18+1),"")</f>
        <v>43893</v>
      </c>
      <c r="F18" s="14">
        <f t="shared" si="9"/>
        <v>43894</v>
      </c>
      <c r="G18" s="14">
        <f t="shared" si="9"/>
        <v>43895</v>
      </c>
      <c r="H18" s="14">
        <f t="shared" si="9"/>
        <v>43896</v>
      </c>
      <c r="I18" s="14">
        <f t="shared" si="9"/>
        <v>43897</v>
      </c>
      <c r="J18" s="14">
        <f t="shared" si="9"/>
        <v>43898</v>
      </c>
      <c r="K18" s="14">
        <f t="shared" si="9"/>
        <v>43899</v>
      </c>
      <c r="L18" s="14">
        <f t="shared" si="9"/>
        <v>43900</v>
      </c>
      <c r="M18" s="14">
        <f t="shared" si="9"/>
        <v>43901</v>
      </c>
      <c r="N18" s="14">
        <f t="shared" si="9"/>
        <v>43902</v>
      </c>
      <c r="O18" s="14">
        <f t="shared" si="9"/>
        <v>43903</v>
      </c>
      <c r="P18" s="14">
        <f t="shared" si="9"/>
        <v>43904</v>
      </c>
      <c r="Q18" s="14">
        <f t="shared" si="9"/>
        <v>43905</v>
      </c>
      <c r="R18" s="14">
        <f t="shared" si="9"/>
        <v>43906</v>
      </c>
      <c r="S18" s="14">
        <f t="shared" si="9"/>
        <v>43907</v>
      </c>
      <c r="T18" s="14">
        <f t="shared" si="9"/>
        <v>43908</v>
      </c>
      <c r="U18" s="14">
        <f t="shared" si="9"/>
        <v>43909</v>
      </c>
      <c r="V18" s="14">
        <f t="shared" si="9"/>
        <v>43910</v>
      </c>
      <c r="W18" s="14">
        <f t="shared" si="9"/>
        <v>43911</v>
      </c>
      <c r="X18" s="14">
        <f t="shared" si="9"/>
        <v>43912</v>
      </c>
      <c r="Y18" s="14">
        <f t="shared" si="9"/>
        <v>43913</v>
      </c>
      <c r="Z18" s="14">
        <f t="shared" si="9"/>
        <v>43914</v>
      </c>
      <c r="AA18" s="14">
        <f t="shared" si="9"/>
        <v>43915</v>
      </c>
      <c r="AB18" s="14">
        <f t="shared" si="9"/>
        <v>43916</v>
      </c>
      <c r="AC18" s="14">
        <f t="shared" si="9"/>
        <v>43917</v>
      </c>
      <c r="AD18" s="14">
        <f t="shared" si="9"/>
        <v>43918</v>
      </c>
      <c r="AE18" s="14">
        <f t="shared" si="9"/>
        <v>43919</v>
      </c>
      <c r="AF18" s="14">
        <f t="shared" si="9"/>
        <v>43920</v>
      </c>
      <c r="AG18" s="642">
        <f t="shared" si="9"/>
        <v>43921</v>
      </c>
      <c r="AH18" s="647">
        <f>COUNTIF(C22:AG22,AI18)</f>
        <v>0</v>
      </c>
      <c r="AI18" s="640" t="s">
        <v>8</v>
      </c>
      <c r="AJ18" s="13">
        <v>4</v>
      </c>
      <c r="AK18" t="s">
        <v>4</v>
      </c>
      <c r="AL18" s="628" t="s">
        <v>8</v>
      </c>
      <c r="AM18" s="32">
        <v>43958</v>
      </c>
      <c r="AN18" s="32">
        <v>43963</v>
      </c>
      <c r="AO18" s="635">
        <f>Absences26810126[[#This Row],[debut]]</f>
        <v>43958</v>
      </c>
      <c r="AQ18" s="609" t="s">
        <v>367</v>
      </c>
      <c r="AR18" s="628" t="s">
        <v>8</v>
      </c>
      <c r="BZ18" s="366">
        <f>BZ21</f>
        <v>44197</v>
      </c>
      <c r="CA18" s="367">
        <f>CA21</f>
        <v>44197</v>
      </c>
      <c r="CB18" s="368" t="s">
        <v>721</v>
      </c>
      <c r="CC18" s="563"/>
      <c r="CD18" s="362" t="s">
        <v>587</v>
      </c>
      <c r="CE18" s="363">
        <f>DATE(CD4,11,11)</f>
        <v>44876</v>
      </c>
    </row>
    <row r="19" spans="1:83" ht="18.75" x14ac:dyDescent="0.25">
      <c r="A19" s="652"/>
      <c r="B19" s="21">
        <f>EOMONTH(B18,0)</f>
        <v>43921</v>
      </c>
      <c r="C19" s="1479" t="s">
        <v>49</v>
      </c>
      <c r="D19" s="1480"/>
      <c r="E19" s="1480"/>
      <c r="F19" s="1480"/>
      <c r="G19" s="1480"/>
      <c r="H19" s="1480"/>
      <c r="I19" s="1480"/>
      <c r="J19" s="1480"/>
      <c r="K19" s="1480"/>
      <c r="L19" s="1480"/>
      <c r="M19" s="1480"/>
      <c r="N19" s="1480"/>
      <c r="O19" s="1480"/>
      <c r="P19" s="1480"/>
      <c r="Q19" s="1480"/>
      <c r="R19" s="1480"/>
      <c r="S19" s="1480"/>
      <c r="T19" s="1480"/>
      <c r="U19" s="1480"/>
      <c r="V19" s="1480"/>
      <c r="W19" s="1480"/>
      <c r="X19" s="1480"/>
      <c r="Y19" s="1480"/>
      <c r="Z19" s="1480"/>
      <c r="AA19" s="1480"/>
      <c r="AB19" s="1480"/>
      <c r="AC19" s="1480"/>
      <c r="AD19" s="1480"/>
      <c r="AE19" s="1480"/>
      <c r="AF19" s="1480"/>
      <c r="AG19" s="1480"/>
      <c r="AH19" s="648">
        <f>COUNTIF(C22:AG22,AI19)</f>
        <v>0</v>
      </c>
      <c r="AI19" s="629" t="s">
        <v>360</v>
      </c>
      <c r="AJ19" s="13">
        <v>5</v>
      </c>
      <c r="AK19" t="s">
        <v>5</v>
      </c>
      <c r="AL19" s="629" t="s">
        <v>360</v>
      </c>
      <c r="AM19" s="31">
        <v>44034</v>
      </c>
      <c r="AN19" s="31">
        <v>44054</v>
      </c>
      <c r="AO19" s="635">
        <f>Absences26810126[[#This Row],[debut]]</f>
        <v>44034</v>
      </c>
      <c r="AQ19" s="595" t="s">
        <v>361</v>
      </c>
      <c r="AR19" s="629" t="s">
        <v>360</v>
      </c>
      <c r="BZ19" s="497"/>
      <c r="CA19" s="497"/>
      <c r="CB19" s="497"/>
      <c r="CC19" s="563"/>
      <c r="CD19" s="362" t="s">
        <v>723</v>
      </c>
      <c r="CE19" s="363">
        <f>DATE(CD4,12,25)</f>
        <v>44920</v>
      </c>
    </row>
    <row r="20" spans="1:83" ht="19.5" thickBot="1" x14ac:dyDescent="0.3">
      <c r="A20" s="654" t="s">
        <v>662</v>
      </c>
      <c r="B20" s="657">
        <f>COUNTIF(C22:AG22,A20)</f>
        <v>0</v>
      </c>
      <c r="C20" s="6">
        <f t="shared" ref="C20:AG20" si="10">IFERROR(DAY(C18),"")</f>
        <v>1</v>
      </c>
      <c r="D20" s="3">
        <f t="shared" si="10"/>
        <v>2</v>
      </c>
      <c r="E20" s="3">
        <f t="shared" si="10"/>
        <v>3</v>
      </c>
      <c r="F20" s="3">
        <f t="shared" si="10"/>
        <v>4</v>
      </c>
      <c r="G20" s="3">
        <f t="shared" si="10"/>
        <v>5</v>
      </c>
      <c r="H20" s="3">
        <f t="shared" si="10"/>
        <v>6</v>
      </c>
      <c r="I20" s="3">
        <f t="shared" si="10"/>
        <v>7</v>
      </c>
      <c r="J20" s="3">
        <f t="shared" si="10"/>
        <v>8</v>
      </c>
      <c r="K20" s="3">
        <f t="shared" si="10"/>
        <v>9</v>
      </c>
      <c r="L20" s="3">
        <f t="shared" si="10"/>
        <v>10</v>
      </c>
      <c r="M20" s="3">
        <f t="shared" si="10"/>
        <v>11</v>
      </c>
      <c r="N20" s="3">
        <f t="shared" si="10"/>
        <v>12</v>
      </c>
      <c r="O20" s="3">
        <f t="shared" si="10"/>
        <v>13</v>
      </c>
      <c r="P20" s="3">
        <f t="shared" si="10"/>
        <v>14</v>
      </c>
      <c r="Q20" s="3">
        <f t="shared" si="10"/>
        <v>15</v>
      </c>
      <c r="R20" s="3">
        <f t="shared" si="10"/>
        <v>16</v>
      </c>
      <c r="S20" s="3">
        <f t="shared" si="10"/>
        <v>17</v>
      </c>
      <c r="T20" s="3">
        <f t="shared" si="10"/>
        <v>18</v>
      </c>
      <c r="U20" s="3">
        <f t="shared" si="10"/>
        <v>19</v>
      </c>
      <c r="V20" s="3">
        <f t="shared" si="10"/>
        <v>20</v>
      </c>
      <c r="W20" s="3">
        <f t="shared" si="10"/>
        <v>21</v>
      </c>
      <c r="X20" s="3">
        <f t="shared" si="10"/>
        <v>22</v>
      </c>
      <c r="Y20" s="3">
        <f t="shared" si="10"/>
        <v>23</v>
      </c>
      <c r="Z20" s="3">
        <f t="shared" si="10"/>
        <v>24</v>
      </c>
      <c r="AA20" s="3">
        <f t="shared" si="10"/>
        <v>25</v>
      </c>
      <c r="AB20" s="3">
        <f t="shared" si="10"/>
        <v>26</v>
      </c>
      <c r="AC20" s="3">
        <f t="shared" si="10"/>
        <v>27</v>
      </c>
      <c r="AD20" s="3">
        <f t="shared" si="10"/>
        <v>28</v>
      </c>
      <c r="AE20" s="3">
        <f t="shared" si="10"/>
        <v>29</v>
      </c>
      <c r="AF20" s="3">
        <f t="shared" si="10"/>
        <v>30</v>
      </c>
      <c r="AG20" s="643">
        <f t="shared" si="10"/>
        <v>31</v>
      </c>
      <c r="AH20" s="648">
        <f>COUNTIF(C22:AG22,AI20)</f>
        <v>0</v>
      </c>
      <c r="AI20" s="10" t="s">
        <v>6</v>
      </c>
      <c r="AJ20" s="13">
        <v>6</v>
      </c>
      <c r="AK20" t="s">
        <v>4</v>
      </c>
      <c r="AL20" s="10" t="s">
        <v>6</v>
      </c>
      <c r="AM20" s="31">
        <v>43837</v>
      </c>
      <c r="AN20" s="31">
        <v>43842</v>
      </c>
      <c r="AO20" s="635">
        <f>Absences26810126[[#This Row],[debut]]</f>
        <v>43837</v>
      </c>
      <c r="AQ20" s="608" t="s">
        <v>357</v>
      </c>
      <c r="AR20" s="10" t="s">
        <v>6</v>
      </c>
      <c r="BZ20" s="1490">
        <f>BZ4+1</f>
        <v>2021</v>
      </c>
      <c r="CA20" s="1491"/>
      <c r="CB20" s="1492"/>
      <c r="CC20" s="563"/>
      <c r="CD20" s="369" t="s">
        <v>721</v>
      </c>
      <c r="CE20" s="370">
        <f>DATE(CD4+1,1,1)</f>
        <v>44927</v>
      </c>
    </row>
    <row r="21" spans="1:83" ht="18.75" x14ac:dyDescent="0.25">
      <c r="A21" s="655" t="s">
        <v>800</v>
      </c>
      <c r="B21" s="658">
        <f>COUNTIF(C22:AG22,A21)</f>
        <v>6</v>
      </c>
      <c r="C21" s="5">
        <f t="shared" ref="C21:AC21" si="11">IF(C18="","",WEEKDAY(C18,1))</f>
        <v>1</v>
      </c>
      <c r="D21" s="8">
        <f t="shared" si="11"/>
        <v>2</v>
      </c>
      <c r="E21" s="8">
        <f t="shared" si="11"/>
        <v>3</v>
      </c>
      <c r="F21" s="8">
        <f t="shared" si="11"/>
        <v>4</v>
      </c>
      <c r="G21" s="8">
        <f t="shared" si="11"/>
        <v>5</v>
      </c>
      <c r="H21" s="8">
        <f t="shared" si="11"/>
        <v>6</v>
      </c>
      <c r="I21" s="8">
        <f t="shared" si="11"/>
        <v>7</v>
      </c>
      <c r="J21" s="8">
        <f t="shared" si="11"/>
        <v>1</v>
      </c>
      <c r="K21" s="8">
        <f t="shared" si="11"/>
        <v>2</v>
      </c>
      <c r="L21" s="8">
        <f t="shared" si="11"/>
        <v>3</v>
      </c>
      <c r="M21" s="8">
        <f t="shared" si="11"/>
        <v>4</v>
      </c>
      <c r="N21" s="8">
        <f t="shared" si="11"/>
        <v>5</v>
      </c>
      <c r="O21" s="8">
        <f t="shared" si="11"/>
        <v>6</v>
      </c>
      <c r="P21" s="8">
        <f t="shared" si="11"/>
        <v>7</v>
      </c>
      <c r="Q21" s="8">
        <f t="shared" si="11"/>
        <v>1</v>
      </c>
      <c r="R21" s="8">
        <f t="shared" si="11"/>
        <v>2</v>
      </c>
      <c r="S21" s="8">
        <f t="shared" si="11"/>
        <v>3</v>
      </c>
      <c r="T21" s="8">
        <f t="shared" si="11"/>
        <v>4</v>
      </c>
      <c r="U21" s="8">
        <f t="shared" si="11"/>
        <v>5</v>
      </c>
      <c r="V21" s="8">
        <f t="shared" si="11"/>
        <v>6</v>
      </c>
      <c r="W21" s="8">
        <f t="shared" si="11"/>
        <v>7</v>
      </c>
      <c r="X21" s="8">
        <f t="shared" si="11"/>
        <v>1</v>
      </c>
      <c r="Y21" s="8">
        <f t="shared" si="11"/>
        <v>2</v>
      </c>
      <c r="Z21" s="8">
        <f t="shared" si="11"/>
        <v>3</v>
      </c>
      <c r="AA21" s="8">
        <f t="shared" si="11"/>
        <v>4</v>
      </c>
      <c r="AB21" s="8">
        <f t="shared" si="11"/>
        <v>5</v>
      </c>
      <c r="AC21" s="8">
        <f t="shared" si="11"/>
        <v>6</v>
      </c>
      <c r="AD21" s="8">
        <f>IF(AD18="","",WEEKDAY(AD18,1))</f>
        <v>7</v>
      </c>
      <c r="AE21" s="8">
        <f>IF(AE18="","",WEEKDAY(AE18,1))</f>
        <v>1</v>
      </c>
      <c r="AF21" s="8">
        <f t="shared" ref="AF21:AG21" si="12">IF(AF18="","",WEEKDAY(AF18,1))</f>
        <v>2</v>
      </c>
      <c r="AG21" s="644">
        <f t="shared" si="12"/>
        <v>3</v>
      </c>
      <c r="AH21" s="648">
        <f>COUNTIF(C22:AG22,AI21)</f>
        <v>0</v>
      </c>
      <c r="AI21" s="633" t="s">
        <v>799</v>
      </c>
      <c r="AJ21" s="13">
        <v>7</v>
      </c>
      <c r="AK21" t="s">
        <v>5</v>
      </c>
      <c r="AL21" s="633" t="s">
        <v>799</v>
      </c>
      <c r="AM21" s="33">
        <v>43922</v>
      </c>
      <c r="AN21" s="33">
        <v>43925</v>
      </c>
      <c r="AO21" s="635">
        <f>Absences26810126[[#This Row],[debut]]</f>
        <v>43922</v>
      </c>
      <c r="AQ21" s="597" t="s">
        <v>813</v>
      </c>
      <c r="AR21" s="633" t="s">
        <v>799</v>
      </c>
      <c r="BZ21" s="359">
        <f>CA21</f>
        <v>44197</v>
      </c>
      <c r="CA21" s="360">
        <f>DATE(BZ4+1,1,1)</f>
        <v>44197</v>
      </c>
      <c r="CB21" s="361" t="s">
        <v>721</v>
      </c>
      <c r="CC21" s="563"/>
      <c r="CD21" s="563"/>
      <c r="CE21" s="563"/>
    </row>
    <row r="22" spans="1:83" ht="19.5" thickBot="1" x14ac:dyDescent="0.3">
      <c r="A22" s="656" t="s">
        <v>7</v>
      </c>
      <c r="B22" s="659">
        <f>COUNTIF(C22:AG22,A22)</f>
        <v>0</v>
      </c>
      <c r="C22" s="24" t="str">
        <f t="array" ref="C22">IFERROR(INDEX($AK$15:$AN$114,MATCH(1,(C18&gt;=$AM$15:$AM$114)*($AN$15:$AN$114&gt;=C18)*($AK$15:$AK$114=$U$2),0),2),"")</f>
        <v/>
      </c>
      <c r="D22" s="25" t="str">
        <f t="array" ref="D22">IFERROR(INDEX($AK$15:$AN$114,MATCH(1,(D18&gt;=$AM$15:$AM$114)*($AN$15:$AN$114&gt;=D18)*($AK$15:$AK$114=$U$2),0),2),"")</f>
        <v/>
      </c>
      <c r="E22" s="25" t="str">
        <f t="array" ref="E22">IFERROR(INDEX($AK$15:$AN$114,MATCH(1,(E18&gt;=$AM$15:$AM$114)*($AN$15:$AN$114&gt;=E18)*($AK$15:$AK$114=$U$2),0),2),"")</f>
        <v/>
      </c>
      <c r="F22" s="25" t="str">
        <f t="array" ref="F22">IFERROR(INDEX($AK$15:$AN$114,MATCH(1,(F18&gt;=$AM$15:$AM$114)*($AN$15:$AN$114&gt;=F18)*($AK$15:$AK$114=$U$2),0),2),"")</f>
        <v/>
      </c>
      <c r="G22" s="25" t="str">
        <f t="array" ref="G22">IFERROR(INDEX($AK$15:$AN$114,MATCH(1,(G18&gt;=$AM$15:$AM$114)*($AN$15:$AN$114&gt;=G18)*($AK$15:$AK$114=$U$2),0),2),"")</f>
        <v/>
      </c>
      <c r="H22" s="25" t="str">
        <f t="array" ref="H22">IFERROR(INDEX($AK$15:$AN$114,MATCH(1,(H18&gt;=$AM$15:$AM$114)*($AN$15:$AN$114&gt;=H18)*($AK$15:$AK$114=$U$2),0),2),"")</f>
        <v/>
      </c>
      <c r="I22" s="25" t="str">
        <f t="array" ref="I22">IFERROR(INDEX($AK$15:$AN$114,MATCH(1,(I18&gt;=$AM$15:$AM$114)*($AN$15:$AN$114&gt;=I18)*($AK$15:$AK$114=$U$2),0),2),"")</f>
        <v>Cp</v>
      </c>
      <c r="J22" s="25" t="str">
        <f t="array" ref="J22">IFERROR(INDEX($AK$15:$AN$114,MATCH(1,(J18&gt;=$AM$15:$AM$114)*($AN$15:$AN$114&gt;=J18)*($AK$15:$AK$114=$U$2),0),2),"")</f>
        <v>Cp</v>
      </c>
      <c r="K22" s="25" t="str">
        <f t="array" ref="K22">IFERROR(INDEX($AK$15:$AN$114,MATCH(1,(K18&gt;=$AM$15:$AM$114)*($AN$15:$AN$114&gt;=K18)*($AK$15:$AK$114=$U$2),0),2),"")</f>
        <v>Cp</v>
      </c>
      <c r="L22" s="25" t="str">
        <f t="array" ref="L22">IFERROR(INDEX($AK$15:$AN$114,MATCH(1,(L18&gt;=$AM$15:$AM$114)*($AN$15:$AN$114&gt;=L18)*($AK$15:$AK$114=$U$2),0),2),"")</f>
        <v>Cp</v>
      </c>
      <c r="M22" s="25" t="str">
        <f t="array" ref="M22">IFERROR(INDEX($AK$15:$AN$114,MATCH(1,(M18&gt;=$AM$15:$AM$114)*($AN$15:$AN$114&gt;=M18)*($AK$15:$AK$114=$U$2),0),2),"")</f>
        <v>Cp</v>
      </c>
      <c r="N22" s="25" t="str">
        <f t="array" ref="N22">IFERROR(INDEX($AK$15:$AN$114,MATCH(1,(N18&gt;=$AM$15:$AM$114)*($AN$15:$AN$114&gt;=N18)*($AK$15:$AK$114=$U$2),0),2),"")</f>
        <v>Cp</v>
      </c>
      <c r="O22" s="25" t="str">
        <f t="array" ref="O22">IFERROR(INDEX($AK$15:$AN$114,MATCH(1,(O18&gt;=$AM$15:$AM$114)*($AN$15:$AN$114&gt;=O18)*($AK$15:$AK$114=$U$2),0),2),"")</f>
        <v/>
      </c>
      <c r="P22" s="25" t="str">
        <f t="array" ref="P22">IFERROR(INDEX($AK$15:$AN$114,MATCH(1,(P18&gt;=$AM$15:$AM$114)*($AN$15:$AN$114&gt;=P18)*($AK$15:$AK$114=$U$2),0),2),"")</f>
        <v/>
      </c>
      <c r="Q22" s="25" t="str">
        <f t="array" ref="Q22">IFERROR(INDEX($AK$15:$AN$114,MATCH(1,(Q18&gt;=$AM$15:$AM$114)*($AN$15:$AN$114&gt;=Q18)*($AK$15:$AK$114=$U$2),0),2),"")</f>
        <v/>
      </c>
      <c r="R22" s="25" t="str">
        <f t="array" ref="R22">IFERROR(INDEX($AK$15:$AN$114,MATCH(1,(R18&gt;=$AM$15:$AM$114)*($AN$15:$AN$114&gt;=R18)*($AK$15:$AK$114=$U$2),0),2),"")</f>
        <v/>
      </c>
      <c r="S22" s="25" t="str">
        <f t="array" ref="S22">IFERROR(INDEX($AK$15:$AN$114,MATCH(1,(S18&gt;=$AM$15:$AM$114)*($AN$15:$AN$114&gt;=S18)*($AK$15:$AK$114=$U$2),0),2),"")</f>
        <v/>
      </c>
      <c r="T22" s="25" t="str">
        <f t="array" ref="T22">IFERROR(INDEX($AK$15:$AN$114,MATCH(1,(T18&gt;=$AM$15:$AM$114)*($AN$15:$AN$114&gt;=T18)*($AK$15:$AK$114=$U$2),0),2),"")</f>
        <v/>
      </c>
      <c r="U22" s="25" t="str">
        <f t="array" ref="U22">IFERROR(INDEX($AK$15:$AN$114,MATCH(1,(U18&gt;=$AM$15:$AM$114)*($AN$15:$AN$114&gt;=U18)*($AK$15:$AK$114=$U$2),0),2),"")</f>
        <v/>
      </c>
      <c r="V22" s="25" t="str">
        <f t="array" ref="V22">IFERROR(INDEX($AK$15:$AN$114,MATCH(1,(V18&gt;=$AM$15:$AM$114)*($AN$15:$AN$114&gt;=V18)*($AK$15:$AK$114=$U$2),0),2),"")</f>
        <v/>
      </c>
      <c r="W22" s="25" t="str">
        <f t="array" ref="W22">IFERROR(INDEX($AK$15:$AN$114,MATCH(1,(W18&gt;=$AM$15:$AM$114)*($AN$15:$AN$114&gt;=W18)*($AK$15:$AK$114=$U$2),0),2),"")</f>
        <v/>
      </c>
      <c r="X22" s="25" t="str">
        <f t="array" ref="X22">IFERROR(INDEX($AK$15:$AN$114,MATCH(1,(X18&gt;=$AM$15:$AM$114)*($AN$15:$AN$114&gt;=X18)*($AK$15:$AK$114=$U$2),0),2),"")</f>
        <v/>
      </c>
      <c r="Y22" s="25" t="str">
        <f t="array" ref="Y22">IFERROR(INDEX($AK$15:$AN$114,MATCH(1,(Y18&gt;=$AM$15:$AM$114)*($AN$15:$AN$114&gt;=Y18)*($AK$15:$AK$114=$U$2),0),2),"")</f>
        <v/>
      </c>
      <c r="Z22" s="25" t="str">
        <f t="array" ref="Z22">IFERROR(INDEX($AK$15:$AN$114,MATCH(1,(Z18&gt;=$AM$15:$AM$114)*($AN$15:$AN$114&gt;=Z18)*($AK$15:$AK$114=$U$2),0),2),"")</f>
        <v/>
      </c>
      <c r="AA22" s="25" t="str">
        <f t="array" ref="AA22">IFERROR(INDEX($AK$15:$AN$114,MATCH(1,(AA18&gt;=$AM$15:$AM$114)*($AN$15:$AN$114&gt;=AA18)*($AK$15:$AK$114=$U$2),0),2),"")</f>
        <v/>
      </c>
      <c r="AB22" s="25" t="str">
        <f t="array" ref="AB22">IFERROR(INDEX($AK$15:$AN$114,MATCH(1,(AB18&gt;=$AM$15:$AM$114)*($AN$15:$AN$114&gt;=AB18)*($AK$15:$AK$114=$U$2),0),2),"")</f>
        <v/>
      </c>
      <c r="AC22" s="25" t="str">
        <f t="array" ref="AC22">IFERROR(INDEX($AK$15:$AN$114,MATCH(1,(AC18&gt;=$AM$15:$AM$114)*($AN$15:$AN$114&gt;=AC18)*($AK$15:$AK$114=$U$2),0),2),"")</f>
        <v/>
      </c>
      <c r="AD22" s="25" t="str">
        <f t="array" ref="AD22">IFERROR(INDEX($AK$15:$AN$114,MATCH(1,(AD18&gt;=$AM$15:$AM$114)*($AN$15:$AN$114&gt;=AD18)*($AK$15:$AK$114=$U$2),0),2),"")</f>
        <v/>
      </c>
      <c r="AE22" s="25" t="str">
        <f t="array" ref="AE22">IFERROR(INDEX($AK$15:$AN$114,MATCH(1,(AE18&gt;=$AM$15:$AM$114)*($AN$15:$AN$114&gt;=AE18)*($AK$15:$AK$114=$U$2),0),2),"")</f>
        <v/>
      </c>
      <c r="AF22" s="25" t="str">
        <f t="array" ref="AF22">IFERROR(INDEX($AK$15:$AN$114,MATCH(1,(AF18&gt;=$AM$15:$AM$114)*($AN$15:$AN$114&gt;=AF18)*($AK$15:$AK$114=$U$2),0),2),"")</f>
        <v/>
      </c>
      <c r="AG22" s="645" t="str">
        <f t="array" ref="AG22">IFERROR(INDEX($AK$15:$AN$114,MATCH(1,(AG18&gt;=$AM$15:$AM$114)*($AN$15:$AN$114&gt;=AG18)*($AK$15:$AK$114=$U$2),0),2),"")</f>
        <v/>
      </c>
      <c r="AH22" s="649">
        <f>COUNTIF(C22:AG22,AI22)</f>
        <v>0</v>
      </c>
      <c r="AI22" s="641" t="s">
        <v>362</v>
      </c>
      <c r="AJ22" s="13">
        <v>8</v>
      </c>
      <c r="AK22" t="s">
        <v>5</v>
      </c>
      <c r="AL22" s="613" t="s">
        <v>362</v>
      </c>
      <c r="AM22" s="32">
        <v>43964</v>
      </c>
      <c r="AN22" s="32">
        <v>43965</v>
      </c>
      <c r="AO22" s="635">
        <f>Absences26810126[[#This Row],[debut]]</f>
        <v>43964</v>
      </c>
      <c r="AQ22" s="608" t="s">
        <v>363</v>
      </c>
      <c r="AR22" s="613" t="s">
        <v>362</v>
      </c>
      <c r="BZ22" s="359">
        <f t="shared" ref="BZ22:BZ33" si="13">CA22</f>
        <v>44290</v>
      </c>
      <c r="CA22" s="360">
        <f>DATE(BZ4+1,3,29.56+0.979*MOD(204-11*MOD(BZ4+1,19),30)-WEEKDAY(DATE(BZ4+1,3,28.56+0.979*MOD(204-11*MOD(BZ4+1,19),30))))</f>
        <v>44290</v>
      </c>
      <c r="CB22" s="361" t="s">
        <v>585</v>
      </c>
      <c r="CC22" s="563"/>
      <c r="CD22" s="563"/>
      <c r="CE22" s="563"/>
    </row>
    <row r="23" spans="1:83" ht="14.25" customHeight="1" x14ac:dyDescent="0.25">
      <c r="A23" s="651"/>
      <c r="B23" s="20">
        <f>DATE($C$2,MONTH(1&amp;"/"&amp;C24),1)</f>
        <v>43922</v>
      </c>
      <c r="C23" s="14">
        <f>B23</f>
        <v>43922</v>
      </c>
      <c r="D23" s="14">
        <f>IFERROR(IF(C23+1&gt;$B$24,"",C23+1),"")</f>
        <v>43923</v>
      </c>
      <c r="E23" s="14">
        <f t="shared" ref="E23:AG23" si="14">IFERROR(IF(D23+1&gt;$B$24,"",D23+1),"")</f>
        <v>43924</v>
      </c>
      <c r="F23" s="14">
        <f t="shared" si="14"/>
        <v>43925</v>
      </c>
      <c r="G23" s="14">
        <f t="shared" si="14"/>
        <v>43926</v>
      </c>
      <c r="H23" s="14">
        <f t="shared" si="14"/>
        <v>43927</v>
      </c>
      <c r="I23" s="14">
        <f t="shared" si="14"/>
        <v>43928</v>
      </c>
      <c r="J23" s="14">
        <f t="shared" si="14"/>
        <v>43929</v>
      </c>
      <c r="K23" s="14">
        <f t="shared" si="14"/>
        <v>43930</v>
      </c>
      <c r="L23" s="14">
        <f t="shared" si="14"/>
        <v>43931</v>
      </c>
      <c r="M23" s="14">
        <f t="shared" si="14"/>
        <v>43932</v>
      </c>
      <c r="N23" s="14">
        <f t="shared" si="14"/>
        <v>43933</v>
      </c>
      <c r="O23" s="14">
        <f t="shared" si="14"/>
        <v>43934</v>
      </c>
      <c r="P23" s="14">
        <f t="shared" si="14"/>
        <v>43935</v>
      </c>
      <c r="Q23" s="14">
        <f t="shared" si="14"/>
        <v>43936</v>
      </c>
      <c r="R23" s="14">
        <f t="shared" si="14"/>
        <v>43937</v>
      </c>
      <c r="S23" s="14">
        <f t="shared" si="14"/>
        <v>43938</v>
      </c>
      <c r="T23" s="14">
        <f t="shared" si="14"/>
        <v>43939</v>
      </c>
      <c r="U23" s="14">
        <f t="shared" si="14"/>
        <v>43940</v>
      </c>
      <c r="V23" s="14">
        <f t="shared" si="14"/>
        <v>43941</v>
      </c>
      <c r="W23" s="14">
        <f t="shared" si="14"/>
        <v>43942</v>
      </c>
      <c r="X23" s="14">
        <f t="shared" si="14"/>
        <v>43943</v>
      </c>
      <c r="Y23" s="14">
        <f t="shared" si="14"/>
        <v>43944</v>
      </c>
      <c r="Z23" s="14">
        <f t="shared" si="14"/>
        <v>43945</v>
      </c>
      <c r="AA23" s="14">
        <f t="shared" si="14"/>
        <v>43946</v>
      </c>
      <c r="AB23" s="14">
        <f t="shared" si="14"/>
        <v>43947</v>
      </c>
      <c r="AC23" s="14">
        <f t="shared" si="14"/>
        <v>43948</v>
      </c>
      <c r="AD23" s="14">
        <f t="shared" si="14"/>
        <v>43949</v>
      </c>
      <c r="AE23" s="14">
        <f t="shared" si="14"/>
        <v>43950</v>
      </c>
      <c r="AF23" s="14">
        <f t="shared" si="14"/>
        <v>43951</v>
      </c>
      <c r="AG23" s="642" t="str">
        <f t="shared" si="14"/>
        <v/>
      </c>
      <c r="AH23" s="647">
        <f>COUNTIF(C27:AG27,AI23)</f>
        <v>0</v>
      </c>
      <c r="AI23" s="640" t="s">
        <v>8</v>
      </c>
      <c r="AJ23" s="13">
        <v>9</v>
      </c>
      <c r="AK23" t="s">
        <v>5</v>
      </c>
      <c r="AL23" s="630" t="s">
        <v>662</v>
      </c>
      <c r="AM23" s="33">
        <v>43995</v>
      </c>
      <c r="AN23" s="33">
        <v>44011</v>
      </c>
      <c r="AO23" s="635">
        <f>Absences26810126[[#This Row],[debut]]</f>
        <v>43995</v>
      </c>
      <c r="BZ23" s="359">
        <f t="shared" si="13"/>
        <v>44291</v>
      </c>
      <c r="CA23" s="522">
        <f>CA22+1</f>
        <v>44291</v>
      </c>
      <c r="CB23" s="361" t="s">
        <v>725</v>
      </c>
      <c r="CC23" s="563"/>
      <c r="CD23" s="563"/>
      <c r="CE23" s="563"/>
    </row>
    <row r="24" spans="1:83" ht="18.75" x14ac:dyDescent="0.25">
      <c r="A24" s="652"/>
      <c r="B24" s="21">
        <f>EOMONTH(B23,0)</f>
        <v>43951</v>
      </c>
      <c r="C24" s="1479" t="s">
        <v>48</v>
      </c>
      <c r="D24" s="1480"/>
      <c r="E24" s="1480"/>
      <c r="F24" s="1480"/>
      <c r="G24" s="1480"/>
      <c r="H24" s="1480"/>
      <c r="I24" s="1480"/>
      <c r="J24" s="1480"/>
      <c r="K24" s="1480"/>
      <c r="L24" s="1480"/>
      <c r="M24" s="1480"/>
      <c r="N24" s="1480"/>
      <c r="O24" s="1480"/>
      <c r="P24" s="1480"/>
      <c r="Q24" s="1480"/>
      <c r="R24" s="1480"/>
      <c r="S24" s="1480"/>
      <c r="T24" s="1480"/>
      <c r="U24" s="1480"/>
      <c r="V24" s="1480"/>
      <c r="W24" s="1480"/>
      <c r="X24" s="1480"/>
      <c r="Y24" s="1480"/>
      <c r="Z24" s="1480"/>
      <c r="AA24" s="1480"/>
      <c r="AB24" s="1480"/>
      <c r="AC24" s="1480"/>
      <c r="AD24" s="1480"/>
      <c r="AE24" s="1480"/>
      <c r="AF24" s="1480"/>
      <c r="AG24" s="1480"/>
      <c r="AH24" s="648">
        <f>COUNTIF(C27:AG27,AI24)</f>
        <v>0</v>
      </c>
      <c r="AI24" s="629" t="s">
        <v>360</v>
      </c>
      <c r="AJ24" s="13">
        <v>10</v>
      </c>
      <c r="AK24" t="s">
        <v>4</v>
      </c>
      <c r="AL24" s="631" t="s">
        <v>800</v>
      </c>
      <c r="AM24" s="31">
        <v>43941</v>
      </c>
      <c r="AN24" s="31">
        <v>43949</v>
      </c>
      <c r="AO24" s="635">
        <f>Absences26810126[[#This Row],[debut]]</f>
        <v>43941</v>
      </c>
      <c r="BZ24" s="359">
        <f t="shared" si="13"/>
        <v>44317</v>
      </c>
      <c r="CA24" s="522">
        <f>DATE(BZ4+1,5,1)</f>
        <v>44317</v>
      </c>
      <c r="CB24" s="361" t="s">
        <v>726</v>
      </c>
      <c r="CC24" s="563"/>
      <c r="CD24" s="563"/>
      <c r="CE24" s="563"/>
    </row>
    <row r="25" spans="1:83" ht="18.75" x14ac:dyDescent="0.25">
      <c r="A25" s="654" t="s">
        <v>662</v>
      </c>
      <c r="B25" s="657">
        <f>COUNTIF(C27:AG27,A25)</f>
        <v>0</v>
      </c>
      <c r="C25" s="6">
        <f t="shared" ref="C25:AG25" si="15">IFERROR(DAY(C23),"")</f>
        <v>1</v>
      </c>
      <c r="D25" s="3">
        <f t="shared" si="15"/>
        <v>2</v>
      </c>
      <c r="E25" s="3">
        <f t="shared" si="15"/>
        <v>3</v>
      </c>
      <c r="F25" s="3">
        <f t="shared" si="15"/>
        <v>4</v>
      </c>
      <c r="G25" s="3">
        <f t="shared" si="15"/>
        <v>5</v>
      </c>
      <c r="H25" s="3">
        <f t="shared" si="15"/>
        <v>6</v>
      </c>
      <c r="I25" s="3">
        <f t="shared" si="15"/>
        <v>7</v>
      </c>
      <c r="J25" s="3">
        <f t="shared" si="15"/>
        <v>8</v>
      </c>
      <c r="K25" s="3">
        <f t="shared" si="15"/>
        <v>9</v>
      </c>
      <c r="L25" s="3">
        <f t="shared" si="15"/>
        <v>10</v>
      </c>
      <c r="M25" s="3">
        <f t="shared" si="15"/>
        <v>11</v>
      </c>
      <c r="N25" s="3">
        <f t="shared" si="15"/>
        <v>12</v>
      </c>
      <c r="O25" s="3">
        <f t="shared" si="15"/>
        <v>13</v>
      </c>
      <c r="P25" s="3">
        <f t="shared" si="15"/>
        <v>14</v>
      </c>
      <c r="Q25" s="3">
        <f t="shared" si="15"/>
        <v>15</v>
      </c>
      <c r="R25" s="3">
        <f t="shared" si="15"/>
        <v>16</v>
      </c>
      <c r="S25" s="3">
        <f t="shared" si="15"/>
        <v>17</v>
      </c>
      <c r="T25" s="3">
        <f t="shared" si="15"/>
        <v>18</v>
      </c>
      <c r="U25" s="3">
        <f t="shared" si="15"/>
        <v>19</v>
      </c>
      <c r="V25" s="3">
        <f t="shared" si="15"/>
        <v>20</v>
      </c>
      <c r="W25" s="3">
        <f t="shared" si="15"/>
        <v>21</v>
      </c>
      <c r="X25" s="3">
        <f t="shared" si="15"/>
        <v>22</v>
      </c>
      <c r="Y25" s="3">
        <f t="shared" si="15"/>
        <v>23</v>
      </c>
      <c r="Z25" s="3">
        <f t="shared" si="15"/>
        <v>24</v>
      </c>
      <c r="AA25" s="3">
        <f t="shared" si="15"/>
        <v>25</v>
      </c>
      <c r="AB25" s="3">
        <f t="shared" si="15"/>
        <v>26</v>
      </c>
      <c r="AC25" s="3">
        <f t="shared" si="15"/>
        <v>27</v>
      </c>
      <c r="AD25" s="3">
        <f t="shared" si="15"/>
        <v>28</v>
      </c>
      <c r="AE25" s="3">
        <f t="shared" si="15"/>
        <v>29</v>
      </c>
      <c r="AF25" s="3">
        <f t="shared" si="15"/>
        <v>30</v>
      </c>
      <c r="AG25" s="643" t="str">
        <f t="shared" si="15"/>
        <v/>
      </c>
      <c r="AH25" s="648">
        <f>COUNTIF(C27:AG27,AI25)</f>
        <v>0</v>
      </c>
      <c r="AI25" s="10" t="s">
        <v>6</v>
      </c>
      <c r="AJ25" s="13">
        <v>11</v>
      </c>
      <c r="AK25" t="s">
        <v>4</v>
      </c>
      <c r="AL25" s="632" t="s">
        <v>7</v>
      </c>
      <c r="AM25" s="31">
        <v>43843</v>
      </c>
      <c r="AN25" s="31">
        <v>43846</v>
      </c>
      <c r="AO25" s="635">
        <f>Absences26810126[[#This Row],[debut]]</f>
        <v>43843</v>
      </c>
      <c r="BZ25" s="359">
        <f t="shared" si="13"/>
        <v>494</v>
      </c>
      <c r="CA25" s="360">
        <f>DATE($Y$2+1,5,8)</f>
        <v>494</v>
      </c>
      <c r="CB25" s="361" t="s">
        <v>728</v>
      </c>
      <c r="CC25" s="563"/>
      <c r="CD25" s="563"/>
      <c r="CE25" s="563"/>
    </row>
    <row r="26" spans="1:83" ht="18.75" x14ac:dyDescent="0.25">
      <c r="A26" s="655" t="s">
        <v>800</v>
      </c>
      <c r="B26" s="658">
        <f>COUNTIF(C27:AG27,A26)</f>
        <v>0</v>
      </c>
      <c r="C26" s="5">
        <f t="shared" ref="C26:AC26" si="16">IF(C23="","",WEEKDAY(C23,1))</f>
        <v>4</v>
      </c>
      <c r="D26" s="8">
        <f t="shared" si="16"/>
        <v>5</v>
      </c>
      <c r="E26" s="8">
        <f t="shared" si="16"/>
        <v>6</v>
      </c>
      <c r="F26" s="8">
        <f t="shared" si="16"/>
        <v>7</v>
      </c>
      <c r="G26" s="8">
        <f t="shared" si="16"/>
        <v>1</v>
      </c>
      <c r="H26" s="8">
        <f t="shared" si="16"/>
        <v>2</v>
      </c>
      <c r="I26" s="8">
        <f t="shared" si="16"/>
        <v>3</v>
      </c>
      <c r="J26" s="8">
        <f t="shared" si="16"/>
        <v>4</v>
      </c>
      <c r="K26" s="8">
        <f t="shared" si="16"/>
        <v>5</v>
      </c>
      <c r="L26" s="8">
        <f t="shared" si="16"/>
        <v>6</v>
      </c>
      <c r="M26" s="8">
        <f t="shared" si="16"/>
        <v>7</v>
      </c>
      <c r="N26" s="8">
        <f t="shared" si="16"/>
        <v>1</v>
      </c>
      <c r="O26" s="8">
        <f t="shared" si="16"/>
        <v>2</v>
      </c>
      <c r="P26" s="8">
        <f t="shared" si="16"/>
        <v>3</v>
      </c>
      <c r="Q26" s="8">
        <f t="shared" si="16"/>
        <v>4</v>
      </c>
      <c r="R26" s="8">
        <f t="shared" si="16"/>
        <v>5</v>
      </c>
      <c r="S26" s="8">
        <f t="shared" si="16"/>
        <v>6</v>
      </c>
      <c r="T26" s="8">
        <f t="shared" si="16"/>
        <v>7</v>
      </c>
      <c r="U26" s="8">
        <f t="shared" si="16"/>
        <v>1</v>
      </c>
      <c r="V26" s="8">
        <f t="shared" si="16"/>
        <v>2</v>
      </c>
      <c r="W26" s="8">
        <f t="shared" si="16"/>
        <v>3</v>
      </c>
      <c r="X26" s="8">
        <f t="shared" si="16"/>
        <v>4</v>
      </c>
      <c r="Y26" s="8">
        <f t="shared" si="16"/>
        <v>5</v>
      </c>
      <c r="Z26" s="8">
        <f t="shared" si="16"/>
        <v>6</v>
      </c>
      <c r="AA26" s="8">
        <f t="shared" si="16"/>
        <v>7</v>
      </c>
      <c r="AB26" s="8">
        <f t="shared" si="16"/>
        <v>1</v>
      </c>
      <c r="AC26" s="8">
        <f t="shared" si="16"/>
        <v>2</v>
      </c>
      <c r="AD26" s="8">
        <f>IF(AD23="","",WEEKDAY(AD23,1))</f>
        <v>3</v>
      </c>
      <c r="AE26" s="8">
        <f>IF(AE23="","",WEEKDAY(AE23,1))</f>
        <v>4</v>
      </c>
      <c r="AF26" s="8">
        <f t="shared" ref="AF26:AG26" si="17">IF(AF23="","",WEEKDAY(AF23,1))</f>
        <v>5</v>
      </c>
      <c r="AG26" s="644" t="str">
        <f t="shared" si="17"/>
        <v/>
      </c>
      <c r="AH26" s="648">
        <f>COUNTIF(C27:AG27,AI26)</f>
        <v>4</v>
      </c>
      <c r="AI26" s="633" t="s">
        <v>799</v>
      </c>
      <c r="AJ26" s="13">
        <v>12</v>
      </c>
      <c r="AK26" t="s">
        <v>5</v>
      </c>
      <c r="AL26" s="628" t="s">
        <v>8</v>
      </c>
      <c r="AM26" s="31">
        <v>43966</v>
      </c>
      <c r="AN26" s="31">
        <v>43969</v>
      </c>
      <c r="AO26" s="635">
        <f>Absences26810126[[#This Row],[debut]]</f>
        <v>43966</v>
      </c>
      <c r="BZ26" s="359">
        <f t="shared" si="13"/>
        <v>44329</v>
      </c>
      <c r="CA26" s="360">
        <f>CA22+39</f>
        <v>44329</v>
      </c>
      <c r="CB26" s="361" t="s">
        <v>729</v>
      </c>
      <c r="CC26" s="563"/>
      <c r="CD26" s="563"/>
      <c r="CE26" s="563"/>
    </row>
    <row r="27" spans="1:83" ht="19.5" thickBot="1" x14ac:dyDescent="0.3">
      <c r="A27" s="656" t="s">
        <v>7</v>
      </c>
      <c r="B27" s="659">
        <f>COUNTIF(C27:AG27,A27)</f>
        <v>0</v>
      </c>
      <c r="C27" s="24" t="str">
        <f t="array" ref="C27">IFERROR(INDEX($AK$15:$AN$114,MATCH(1,(C23&gt;=$AM$15:$AM$114)*($AN$15:$AN$114&gt;=C23)*($AK$15:$AK$114=$U$2),0),2),"")</f>
        <v>AT</v>
      </c>
      <c r="D27" s="25" t="str">
        <f t="array" ref="D27">IFERROR(INDEX($AK$15:$AN$114,MATCH(1,(D23&gt;=$AM$15:$AM$114)*($AN$15:$AN$114&gt;=D23)*($AK$15:$AK$114=$U$2),0),2),"")</f>
        <v>AT</v>
      </c>
      <c r="E27" s="25" t="str">
        <f t="array" ref="E27">IFERROR(INDEX($AK$15:$AN$114,MATCH(1,(E23&gt;=$AM$15:$AM$114)*($AN$15:$AN$114&gt;=E23)*($AK$15:$AK$114=$U$2),0),2),"")</f>
        <v>AT</v>
      </c>
      <c r="F27" s="25" t="str">
        <f t="array" ref="F27">IFERROR(INDEX($AK$15:$AN$114,MATCH(1,(F23&gt;=$AM$15:$AM$114)*($AN$15:$AN$114&gt;=F23)*($AK$15:$AK$114=$U$2),0),2),"")</f>
        <v>AT</v>
      </c>
      <c r="G27" s="25" t="str">
        <f t="array" ref="G27">IFERROR(INDEX($AK$15:$AN$114,MATCH(1,(G23&gt;=$AM$15:$AM$114)*($AN$15:$AN$114&gt;=G23)*($AK$15:$AK$114=$U$2),0),2),"")</f>
        <v/>
      </c>
      <c r="H27" s="25" t="str">
        <f t="array" ref="H27">IFERROR(INDEX($AK$15:$AN$114,MATCH(1,(H23&gt;=$AM$15:$AM$114)*($AN$15:$AN$114&gt;=H23)*($AK$15:$AK$114=$U$2),0),2),"")</f>
        <v/>
      </c>
      <c r="I27" s="25" t="str">
        <f t="array" ref="I27">IFERROR(INDEX($AK$15:$AN$114,MATCH(1,(I23&gt;=$AM$15:$AM$114)*($AN$15:$AN$114&gt;=I23)*($AK$15:$AK$114=$U$2),0),2),"")</f>
        <v/>
      </c>
      <c r="J27" s="25" t="str">
        <f t="array" ref="J27">IFERROR(INDEX($AK$15:$AN$114,MATCH(1,(J23&gt;=$AM$15:$AM$114)*($AN$15:$AN$114&gt;=J23)*($AK$15:$AK$114=$U$2),0),2),"")</f>
        <v/>
      </c>
      <c r="K27" s="25" t="str">
        <f t="array" ref="K27">IFERROR(INDEX($AK$15:$AN$114,MATCH(1,(K23&gt;=$AM$15:$AM$114)*($AN$15:$AN$114&gt;=K23)*($AK$15:$AK$114=$U$2),0),2),"")</f>
        <v/>
      </c>
      <c r="L27" s="25" t="str">
        <f t="array" ref="L27">IFERROR(INDEX($AK$15:$AN$114,MATCH(1,(L23&gt;=$AM$15:$AM$114)*($AN$15:$AN$114&gt;=L23)*($AK$15:$AK$114=$U$2),0),2),"")</f>
        <v/>
      </c>
      <c r="M27" s="25" t="str">
        <f t="array" ref="M27">IFERROR(INDEX($AK$15:$AN$114,MATCH(1,(M23&gt;=$AM$15:$AM$114)*($AN$15:$AN$114&gt;=M23)*($AK$15:$AK$114=$U$2),0),2),"")</f>
        <v/>
      </c>
      <c r="N27" s="25" t="str">
        <f t="array" ref="N27">IFERROR(INDEX($AK$15:$AN$114,MATCH(1,(N23&gt;=$AM$15:$AM$114)*($AN$15:$AN$114&gt;=N23)*($AK$15:$AK$114=$U$2),0),2),"")</f>
        <v/>
      </c>
      <c r="O27" s="25" t="str">
        <f t="array" ref="O27">IFERROR(INDEX($AK$15:$AN$114,MATCH(1,(O23&gt;=$AM$15:$AM$114)*($AN$15:$AN$114&gt;=O23)*($AK$15:$AK$114=$U$2),0),2),"")</f>
        <v/>
      </c>
      <c r="P27" s="25" t="str">
        <f t="array" ref="P27">IFERROR(INDEX($AK$15:$AN$114,MATCH(1,(P23&gt;=$AM$15:$AM$114)*($AN$15:$AN$114&gt;=P23)*($AK$15:$AK$114=$U$2),0),2),"")</f>
        <v/>
      </c>
      <c r="Q27" s="25" t="str">
        <f t="array" ref="Q27">IFERROR(INDEX($AK$15:$AN$114,MATCH(1,(Q23&gt;=$AM$15:$AM$114)*($AN$15:$AN$114&gt;=Q23)*($AK$15:$AK$114=$U$2),0),2),"")</f>
        <v/>
      </c>
      <c r="R27" s="25" t="str">
        <f t="array" ref="R27">IFERROR(INDEX($AK$15:$AN$114,MATCH(1,(R23&gt;=$AM$15:$AM$114)*($AN$15:$AN$114&gt;=R23)*($AK$15:$AK$114=$U$2),0),2),"")</f>
        <v/>
      </c>
      <c r="S27" s="25" t="str">
        <f t="array" ref="S27">IFERROR(INDEX($AK$15:$AN$114,MATCH(1,(S23&gt;=$AM$15:$AM$114)*($AN$15:$AN$114&gt;=S23)*($AK$15:$AK$114=$U$2),0),2),"")</f>
        <v/>
      </c>
      <c r="T27" s="25" t="str">
        <f t="array" ref="T27">IFERROR(INDEX($AK$15:$AN$114,MATCH(1,(T23&gt;=$AM$15:$AM$114)*($AN$15:$AN$114&gt;=T23)*($AK$15:$AK$114=$U$2),0),2),"")</f>
        <v/>
      </c>
      <c r="U27" s="25" t="str">
        <f t="array" ref="U27">IFERROR(INDEX($AK$15:$AN$114,MATCH(1,(U23&gt;=$AM$15:$AM$114)*($AN$15:$AN$114&gt;=U23)*($AK$15:$AK$114=$U$2),0),2),"")</f>
        <v/>
      </c>
      <c r="V27" s="25" t="str">
        <f t="array" ref="V27">IFERROR(INDEX($AK$15:$AN$114,MATCH(1,(V23&gt;=$AM$15:$AM$114)*($AN$15:$AN$114&gt;=V23)*($AK$15:$AK$114=$U$2),0),2),"")</f>
        <v/>
      </c>
      <c r="W27" s="25" t="str">
        <f t="array" ref="W27">IFERROR(INDEX($AK$15:$AN$114,MATCH(1,(W23&gt;=$AM$15:$AM$114)*($AN$15:$AN$114&gt;=W23)*($AK$15:$AK$114=$U$2),0),2),"")</f>
        <v/>
      </c>
      <c r="X27" s="25" t="str">
        <f t="array" ref="X27">IFERROR(INDEX($AK$15:$AN$114,MATCH(1,(X23&gt;=$AM$15:$AM$114)*($AN$15:$AN$114&gt;=X23)*($AK$15:$AK$114=$U$2),0),2),"")</f>
        <v/>
      </c>
      <c r="Y27" s="25" t="str">
        <f t="array" ref="Y27">IFERROR(INDEX($AK$15:$AN$114,MATCH(1,(Y23&gt;=$AM$15:$AM$114)*($AN$15:$AN$114&gt;=Y23)*($AK$15:$AK$114=$U$2),0),2),"")</f>
        <v/>
      </c>
      <c r="Z27" s="25" t="str">
        <f t="array" ref="Z27">IFERROR(INDEX($AK$15:$AN$114,MATCH(1,(Z23&gt;=$AM$15:$AM$114)*($AN$15:$AN$114&gt;=Z23)*($AK$15:$AK$114=$U$2),0),2),"")</f>
        <v/>
      </c>
      <c r="AA27" s="25" t="str">
        <f t="array" ref="AA27">IFERROR(INDEX($AK$15:$AN$114,MATCH(1,(AA23&gt;=$AM$15:$AM$114)*($AN$15:$AN$114&gt;=AA23)*($AK$15:$AK$114=$U$2),0),2),"")</f>
        <v/>
      </c>
      <c r="AB27" s="25" t="str">
        <f t="array" ref="AB27">IFERROR(INDEX($AK$15:$AN$114,MATCH(1,(AB23&gt;=$AM$15:$AM$114)*($AN$15:$AN$114&gt;=AB23)*($AK$15:$AK$114=$U$2),0),2),"")</f>
        <v/>
      </c>
      <c r="AC27" s="25" t="str">
        <f t="array" ref="AC27">IFERROR(INDEX($AK$15:$AN$114,MATCH(1,(AC23&gt;=$AM$15:$AM$114)*($AN$15:$AN$114&gt;=AC23)*($AK$15:$AK$114=$U$2),0),2),"")</f>
        <v/>
      </c>
      <c r="AD27" s="25" t="str">
        <f t="array" ref="AD27">IFERROR(INDEX($AK$15:$AN$114,MATCH(1,(AD23&gt;=$AM$15:$AM$114)*($AN$15:$AN$114&gt;=AD23)*($AK$15:$AK$114=$U$2),0),2),"")</f>
        <v/>
      </c>
      <c r="AE27" s="25" t="str">
        <f t="array" ref="AE27">IFERROR(INDEX($AK$15:$AN$114,MATCH(1,(AE23&gt;=$AM$15:$AM$114)*($AN$15:$AN$114&gt;=AE23)*($AK$15:$AK$114=$U$2),0),2),"")</f>
        <v/>
      </c>
      <c r="AF27" s="25" t="str">
        <f t="array" ref="AF27">IFERROR(INDEX($AK$15:$AN$114,MATCH(1,(AF23&gt;=$AM$15:$AM$114)*($AN$15:$AN$114&gt;=AF23)*($AK$15:$AK$114=$U$2),0),2),"")</f>
        <v/>
      </c>
      <c r="AG27" s="645" t="str">
        <f t="array" ref="AG27">IFERROR(INDEX($AK$15:$AN$114,MATCH(1,(AG23&gt;=$AM$15:$AM$114)*($AN$15:$AN$114&gt;=AG23)*($AK$15:$AK$114=$U$2),0),2),"")</f>
        <v/>
      </c>
      <c r="AH27" s="649">
        <f>COUNTIF(C27:AG27,AI27)</f>
        <v>0</v>
      </c>
      <c r="AI27" s="641" t="s">
        <v>362</v>
      </c>
      <c r="AJ27" s="13">
        <v>13</v>
      </c>
      <c r="AK27" t="s">
        <v>4</v>
      </c>
      <c r="AL27" s="629" t="s">
        <v>360</v>
      </c>
      <c r="AM27" s="31">
        <v>43831</v>
      </c>
      <c r="AN27" s="31">
        <v>43833</v>
      </c>
      <c r="AO27" s="635">
        <f>Absences26810126[[#This Row],[debut]]</f>
        <v>43831</v>
      </c>
      <c r="BZ27" s="359">
        <f t="shared" si="13"/>
        <v>44339</v>
      </c>
      <c r="CA27" s="360">
        <f>CA22+49</f>
        <v>44339</v>
      </c>
      <c r="CB27" s="361" t="s">
        <v>731</v>
      </c>
      <c r="CC27" s="563"/>
      <c r="CD27" s="563"/>
      <c r="CE27" s="563"/>
    </row>
    <row r="28" spans="1:83" ht="14.25" customHeight="1" x14ac:dyDescent="0.25">
      <c r="A28" s="651"/>
      <c r="B28" s="20">
        <f>DATE($C$2,MONTH(1&amp;"/"&amp;C29),1)</f>
        <v>43952</v>
      </c>
      <c r="C28" s="14">
        <f>B28</f>
        <v>43952</v>
      </c>
      <c r="D28" s="14">
        <f>IFERROR(IF(C28+1&gt;$B$29,"",C28+1),"")</f>
        <v>43953</v>
      </c>
      <c r="E28" s="14">
        <f t="shared" ref="E28:AG28" si="18">IFERROR(IF(D28+1&gt;$B$29,"",D28+1),"")</f>
        <v>43954</v>
      </c>
      <c r="F28" s="14">
        <f t="shared" si="18"/>
        <v>43955</v>
      </c>
      <c r="G28" s="14">
        <f t="shared" si="18"/>
        <v>43956</v>
      </c>
      <c r="H28" s="14">
        <f t="shared" si="18"/>
        <v>43957</v>
      </c>
      <c r="I28" s="14">
        <f t="shared" si="18"/>
        <v>43958</v>
      </c>
      <c r="J28" s="14">
        <f t="shared" si="18"/>
        <v>43959</v>
      </c>
      <c r="K28" s="14">
        <f t="shared" si="18"/>
        <v>43960</v>
      </c>
      <c r="L28" s="14">
        <f t="shared" si="18"/>
        <v>43961</v>
      </c>
      <c r="M28" s="14">
        <f t="shared" si="18"/>
        <v>43962</v>
      </c>
      <c r="N28" s="14">
        <f t="shared" si="18"/>
        <v>43963</v>
      </c>
      <c r="O28" s="14">
        <f t="shared" si="18"/>
        <v>43964</v>
      </c>
      <c r="P28" s="14">
        <f t="shared" si="18"/>
        <v>43965</v>
      </c>
      <c r="Q28" s="14">
        <f t="shared" si="18"/>
        <v>43966</v>
      </c>
      <c r="R28" s="14">
        <f t="shared" si="18"/>
        <v>43967</v>
      </c>
      <c r="S28" s="14">
        <f t="shared" si="18"/>
        <v>43968</v>
      </c>
      <c r="T28" s="14">
        <f t="shared" si="18"/>
        <v>43969</v>
      </c>
      <c r="U28" s="14">
        <f t="shared" si="18"/>
        <v>43970</v>
      </c>
      <c r="V28" s="14">
        <f t="shared" si="18"/>
        <v>43971</v>
      </c>
      <c r="W28" s="14">
        <f t="shared" si="18"/>
        <v>43972</v>
      </c>
      <c r="X28" s="14">
        <f t="shared" si="18"/>
        <v>43973</v>
      </c>
      <c r="Y28" s="14">
        <f t="shared" si="18"/>
        <v>43974</v>
      </c>
      <c r="Z28" s="14">
        <f t="shared" si="18"/>
        <v>43975</v>
      </c>
      <c r="AA28" s="14">
        <f t="shared" si="18"/>
        <v>43976</v>
      </c>
      <c r="AB28" s="14">
        <f t="shared" si="18"/>
        <v>43977</v>
      </c>
      <c r="AC28" s="14">
        <f t="shared" si="18"/>
        <v>43978</v>
      </c>
      <c r="AD28" s="14">
        <f t="shared" si="18"/>
        <v>43979</v>
      </c>
      <c r="AE28" s="14">
        <f t="shared" si="18"/>
        <v>43980</v>
      </c>
      <c r="AF28" s="14">
        <f t="shared" si="18"/>
        <v>43981</v>
      </c>
      <c r="AG28" s="642">
        <f t="shared" si="18"/>
        <v>43982</v>
      </c>
      <c r="AH28" s="647">
        <f>COUNTIF(C32:AG32,AI28)</f>
        <v>4</v>
      </c>
      <c r="AI28" s="640" t="s">
        <v>8</v>
      </c>
      <c r="AJ28" s="13">
        <v>14</v>
      </c>
      <c r="AK28" t="s">
        <v>5</v>
      </c>
      <c r="AL28" s="10" t="s">
        <v>6</v>
      </c>
      <c r="AM28" s="31">
        <v>44142</v>
      </c>
      <c r="AN28" s="31">
        <v>44152</v>
      </c>
      <c r="AO28" s="635">
        <f>Absences26810126[[#This Row],[debut]]</f>
        <v>44142</v>
      </c>
      <c r="BZ28" s="359">
        <f t="shared" si="13"/>
        <v>44340</v>
      </c>
      <c r="CA28" s="360">
        <f>CA27+1</f>
        <v>44340</v>
      </c>
      <c r="CB28" s="361" t="s">
        <v>732</v>
      </c>
      <c r="CC28" s="563"/>
      <c r="CD28" s="563"/>
      <c r="CE28" s="563"/>
    </row>
    <row r="29" spans="1:83" ht="18.75" x14ac:dyDescent="0.25">
      <c r="A29" s="652"/>
      <c r="B29" s="21">
        <f>EOMONTH(B28,0)</f>
        <v>43982</v>
      </c>
      <c r="C29" s="1479" t="s">
        <v>46</v>
      </c>
      <c r="D29" s="1480"/>
      <c r="E29" s="1480"/>
      <c r="F29" s="1480"/>
      <c r="G29" s="1480"/>
      <c r="H29" s="1480"/>
      <c r="I29" s="1480"/>
      <c r="J29" s="1480"/>
      <c r="K29" s="1480"/>
      <c r="L29" s="1480"/>
      <c r="M29" s="1480"/>
      <c r="N29" s="1480"/>
      <c r="O29" s="1480"/>
      <c r="P29" s="1480"/>
      <c r="Q29" s="1480"/>
      <c r="R29" s="1480"/>
      <c r="S29" s="1480"/>
      <c r="T29" s="1480"/>
      <c r="U29" s="1480"/>
      <c r="V29" s="1480"/>
      <c r="W29" s="1480"/>
      <c r="X29" s="1480"/>
      <c r="Y29" s="1480"/>
      <c r="Z29" s="1480"/>
      <c r="AA29" s="1480"/>
      <c r="AB29" s="1480"/>
      <c r="AC29" s="1480"/>
      <c r="AD29" s="1480"/>
      <c r="AE29" s="1480"/>
      <c r="AF29" s="1480"/>
      <c r="AG29" s="1480"/>
      <c r="AH29" s="648">
        <f>COUNTIF(C32:AG32,AI29)</f>
        <v>0</v>
      </c>
      <c r="AI29" s="629" t="s">
        <v>360</v>
      </c>
      <c r="AJ29" s="13">
        <v>15</v>
      </c>
      <c r="AL29" s="23"/>
      <c r="AM29" s="31"/>
      <c r="AN29" s="31"/>
      <c r="AO29" s="635">
        <f>Absences26810126[[#This Row],[debut]]</f>
        <v>0</v>
      </c>
      <c r="AQ29" s="673" t="s">
        <v>826</v>
      </c>
      <c r="BZ29" s="359">
        <f t="shared" si="13"/>
        <v>44391</v>
      </c>
      <c r="CA29" s="360">
        <f>DATE(BZ4+1,7,14)</f>
        <v>44391</v>
      </c>
      <c r="CB29" s="361" t="s">
        <v>733</v>
      </c>
      <c r="CC29" s="563"/>
      <c r="CD29" s="563"/>
      <c r="CE29" s="563"/>
    </row>
    <row r="30" spans="1:83" ht="18.75" x14ac:dyDescent="0.25">
      <c r="A30" s="654" t="s">
        <v>662</v>
      </c>
      <c r="B30" s="657">
        <f>COUNTIF(C32:AG32,A30)</f>
        <v>0</v>
      </c>
      <c r="C30" s="6">
        <f t="shared" ref="C30:AG30" si="19">IFERROR(DAY(C28),"")</f>
        <v>1</v>
      </c>
      <c r="D30" s="3">
        <f t="shared" si="19"/>
        <v>2</v>
      </c>
      <c r="E30" s="3">
        <f t="shared" si="19"/>
        <v>3</v>
      </c>
      <c r="F30" s="3">
        <f t="shared" si="19"/>
        <v>4</v>
      </c>
      <c r="G30" s="3">
        <f t="shared" si="19"/>
        <v>5</v>
      </c>
      <c r="H30" s="3">
        <f t="shared" si="19"/>
        <v>6</v>
      </c>
      <c r="I30" s="3">
        <f t="shared" si="19"/>
        <v>7</v>
      </c>
      <c r="J30" s="3">
        <f t="shared" si="19"/>
        <v>8</v>
      </c>
      <c r="K30" s="3">
        <f t="shared" si="19"/>
        <v>9</v>
      </c>
      <c r="L30" s="3">
        <f t="shared" si="19"/>
        <v>10</v>
      </c>
      <c r="M30" s="3">
        <f t="shared" si="19"/>
        <v>11</v>
      </c>
      <c r="N30" s="3">
        <f t="shared" si="19"/>
        <v>12</v>
      </c>
      <c r="O30" s="3">
        <f t="shared" si="19"/>
        <v>13</v>
      </c>
      <c r="P30" s="3">
        <f t="shared" si="19"/>
        <v>14</v>
      </c>
      <c r="Q30" s="3">
        <f t="shared" si="19"/>
        <v>15</v>
      </c>
      <c r="R30" s="3">
        <f t="shared" si="19"/>
        <v>16</v>
      </c>
      <c r="S30" s="3">
        <f t="shared" si="19"/>
        <v>17</v>
      </c>
      <c r="T30" s="3">
        <f t="shared" si="19"/>
        <v>18</v>
      </c>
      <c r="U30" s="3">
        <f t="shared" si="19"/>
        <v>19</v>
      </c>
      <c r="V30" s="3">
        <f t="shared" si="19"/>
        <v>20</v>
      </c>
      <c r="W30" s="3">
        <f t="shared" si="19"/>
        <v>21</v>
      </c>
      <c r="X30" s="3">
        <f t="shared" si="19"/>
        <v>22</v>
      </c>
      <c r="Y30" s="3">
        <f t="shared" si="19"/>
        <v>23</v>
      </c>
      <c r="Z30" s="3">
        <f t="shared" si="19"/>
        <v>24</v>
      </c>
      <c r="AA30" s="3">
        <f t="shared" si="19"/>
        <v>25</v>
      </c>
      <c r="AB30" s="3">
        <f t="shared" si="19"/>
        <v>26</v>
      </c>
      <c r="AC30" s="3">
        <f t="shared" si="19"/>
        <v>27</v>
      </c>
      <c r="AD30" s="3">
        <f t="shared" si="19"/>
        <v>28</v>
      </c>
      <c r="AE30" s="3">
        <f t="shared" si="19"/>
        <v>29</v>
      </c>
      <c r="AF30" s="3">
        <f t="shared" si="19"/>
        <v>30</v>
      </c>
      <c r="AG30" s="643">
        <f t="shared" si="19"/>
        <v>31</v>
      </c>
      <c r="AH30" s="648">
        <f>COUNTIF(C32:AG32,AI30)</f>
        <v>0</v>
      </c>
      <c r="AI30" s="10" t="s">
        <v>6</v>
      </c>
      <c r="AJ30" s="13">
        <v>16</v>
      </c>
      <c r="AL30" s="23"/>
      <c r="AM30" s="31"/>
      <c r="AN30" s="31"/>
      <c r="AO30" s="635">
        <f>Absences26810126[[#This Row],[debut]]</f>
        <v>0</v>
      </c>
      <c r="BZ30" s="359">
        <f t="shared" si="13"/>
        <v>44423</v>
      </c>
      <c r="CA30" s="360">
        <f>DATE(BZ4+1,8,15)</f>
        <v>44423</v>
      </c>
      <c r="CB30" s="361" t="s">
        <v>586</v>
      </c>
      <c r="CC30" s="563"/>
      <c r="CD30" s="563"/>
      <c r="CE30" s="563"/>
    </row>
    <row r="31" spans="1:83" ht="18.75" x14ac:dyDescent="0.25">
      <c r="A31" s="655" t="s">
        <v>800</v>
      </c>
      <c r="B31" s="658">
        <f>COUNTIF(C32:AG32,A31)</f>
        <v>0</v>
      </c>
      <c r="C31" s="5">
        <f t="shared" ref="C31:AC31" si="20">IF(C28="","",WEEKDAY(C28,1))</f>
        <v>6</v>
      </c>
      <c r="D31" s="8">
        <f t="shared" si="20"/>
        <v>7</v>
      </c>
      <c r="E31" s="8">
        <f t="shared" si="20"/>
        <v>1</v>
      </c>
      <c r="F31" s="8">
        <f t="shared" si="20"/>
        <v>2</v>
      </c>
      <c r="G31" s="8">
        <f t="shared" si="20"/>
        <v>3</v>
      </c>
      <c r="H31" s="8">
        <f t="shared" si="20"/>
        <v>4</v>
      </c>
      <c r="I31" s="8">
        <f t="shared" si="20"/>
        <v>5</v>
      </c>
      <c r="J31" s="8">
        <f t="shared" si="20"/>
        <v>6</v>
      </c>
      <c r="K31" s="8">
        <f t="shared" si="20"/>
        <v>7</v>
      </c>
      <c r="L31" s="8">
        <f t="shared" si="20"/>
        <v>1</v>
      </c>
      <c r="M31" s="8">
        <f t="shared" si="20"/>
        <v>2</v>
      </c>
      <c r="N31" s="8">
        <f t="shared" si="20"/>
        <v>3</v>
      </c>
      <c r="O31" s="8">
        <f t="shared" si="20"/>
        <v>4</v>
      </c>
      <c r="P31" s="8">
        <f t="shared" si="20"/>
        <v>5</v>
      </c>
      <c r="Q31" s="8">
        <f t="shared" si="20"/>
        <v>6</v>
      </c>
      <c r="R31" s="8">
        <f t="shared" si="20"/>
        <v>7</v>
      </c>
      <c r="S31" s="8">
        <f t="shared" si="20"/>
        <v>1</v>
      </c>
      <c r="T31" s="8">
        <f t="shared" si="20"/>
        <v>2</v>
      </c>
      <c r="U31" s="8">
        <f t="shared" si="20"/>
        <v>3</v>
      </c>
      <c r="V31" s="8">
        <f t="shared" si="20"/>
        <v>4</v>
      </c>
      <c r="W31" s="8">
        <f t="shared" si="20"/>
        <v>5</v>
      </c>
      <c r="X31" s="8">
        <f t="shared" si="20"/>
        <v>6</v>
      </c>
      <c r="Y31" s="8">
        <f t="shared" si="20"/>
        <v>7</v>
      </c>
      <c r="Z31" s="8">
        <f t="shared" si="20"/>
        <v>1</v>
      </c>
      <c r="AA31" s="8">
        <f t="shared" si="20"/>
        <v>2</v>
      </c>
      <c r="AB31" s="8">
        <f t="shared" si="20"/>
        <v>3</v>
      </c>
      <c r="AC31" s="8">
        <f t="shared" si="20"/>
        <v>4</v>
      </c>
      <c r="AD31" s="8">
        <f>IF(AD28="","",WEEKDAY(AD28,1))</f>
        <v>5</v>
      </c>
      <c r="AE31" s="8">
        <f>IF(AE28="","",WEEKDAY(AE28,1))</f>
        <v>6</v>
      </c>
      <c r="AF31" s="8">
        <f t="shared" ref="AF31:AG31" si="21">IF(AF28="","",WEEKDAY(AF28,1))</f>
        <v>7</v>
      </c>
      <c r="AG31" s="644">
        <f t="shared" si="21"/>
        <v>1</v>
      </c>
      <c r="AH31" s="648">
        <f>COUNTIF(C32:AG32,AI31)</f>
        <v>0</v>
      </c>
      <c r="AI31" s="633" t="s">
        <v>799</v>
      </c>
      <c r="AJ31" s="13">
        <v>17</v>
      </c>
      <c r="AL31" s="23"/>
      <c r="AM31" s="31"/>
      <c r="AN31" s="31"/>
      <c r="AO31" s="635">
        <f>Absences26810126[[#This Row],[debut]]</f>
        <v>0</v>
      </c>
      <c r="BZ31" s="359">
        <f t="shared" si="13"/>
        <v>44501</v>
      </c>
      <c r="CA31" s="360">
        <f>DATE(BZ4+1,11,1)</f>
        <v>44501</v>
      </c>
      <c r="CB31" s="361" t="s">
        <v>735</v>
      </c>
      <c r="CC31" s="563"/>
      <c r="CD31" s="563"/>
      <c r="CE31" s="563"/>
    </row>
    <row r="32" spans="1:83" ht="19.5" thickBot="1" x14ac:dyDescent="0.3">
      <c r="A32" s="656" t="s">
        <v>7</v>
      </c>
      <c r="B32" s="659">
        <f>COUNTIF(C32:AG32,A32)</f>
        <v>0</v>
      </c>
      <c r="C32" s="24" t="str">
        <f t="array" ref="C32">IFERROR(INDEX($AK$15:$AN$114,MATCH(1,(C28&gt;=$AM$15:$AM$114)*($AN$15:$AN$114&gt;=C28)*($AK$15:$AK$114=$U$2),0),2),"")</f>
        <v/>
      </c>
      <c r="D32" s="25" t="str">
        <f t="array" ref="D32">IFERROR(INDEX($AK$15:$AN$114,MATCH(1,(D28&gt;=$AM$15:$AM$114)*($AN$15:$AN$114&gt;=D28)*($AK$15:$AK$114=$U$2),0),2),"")</f>
        <v/>
      </c>
      <c r="E32" s="25" t="str">
        <f t="array" ref="E32">IFERROR(INDEX($AK$15:$AN$114,MATCH(1,(E28&gt;=$AM$15:$AM$114)*($AN$15:$AN$114&gt;=E28)*($AK$15:$AK$114=$U$2),0),2),"")</f>
        <v/>
      </c>
      <c r="F32" s="25" t="str">
        <f t="array" ref="F32">IFERROR(INDEX($AK$15:$AN$114,MATCH(1,(F28&gt;=$AM$15:$AM$114)*($AN$15:$AN$114&gt;=F28)*($AK$15:$AK$114=$U$2),0),2),"")</f>
        <v/>
      </c>
      <c r="G32" s="25" t="str">
        <f t="array" ref="G32">IFERROR(INDEX($AK$15:$AN$114,MATCH(1,(G28&gt;=$AM$15:$AM$114)*($AN$15:$AN$114&gt;=G28)*($AK$15:$AK$114=$U$2),0),2),"")</f>
        <v/>
      </c>
      <c r="H32" s="25" t="str">
        <f t="array" ref="H32">IFERROR(INDEX($AK$15:$AN$114,MATCH(1,(H28&gt;=$AM$15:$AM$114)*($AN$15:$AN$114&gt;=H28)*($AK$15:$AK$114=$U$2),0),2),"")</f>
        <v/>
      </c>
      <c r="I32" s="25" t="str">
        <f t="array" ref="I32">IFERROR(INDEX($AK$15:$AN$114,MATCH(1,(I28&gt;=$AM$15:$AM$114)*($AN$15:$AN$114&gt;=I28)*($AK$15:$AK$114=$U$2),0),2),"")</f>
        <v/>
      </c>
      <c r="J32" s="25" t="str">
        <f t="array" ref="J32">IFERROR(INDEX($AK$15:$AN$114,MATCH(1,(J28&gt;=$AM$15:$AM$114)*($AN$15:$AN$114&gt;=J28)*($AK$15:$AK$114=$U$2),0),2),"")</f>
        <v/>
      </c>
      <c r="K32" s="25" t="str">
        <f t="array" ref="K32">IFERROR(INDEX($AK$15:$AN$114,MATCH(1,(K28&gt;=$AM$15:$AM$114)*($AN$15:$AN$114&gt;=K28)*($AK$15:$AK$114=$U$2),0),2),"")</f>
        <v/>
      </c>
      <c r="L32" s="25" t="str">
        <f t="array" ref="L32">IFERROR(INDEX($AK$15:$AN$114,MATCH(1,(L28&gt;=$AM$15:$AM$114)*($AN$15:$AN$114&gt;=L28)*($AK$15:$AK$114=$U$2),0),2),"")</f>
        <v/>
      </c>
      <c r="M32" s="25" t="str">
        <f t="array" ref="M32">IFERROR(INDEX($AK$15:$AN$114,MATCH(1,(M28&gt;=$AM$15:$AM$114)*($AN$15:$AN$114&gt;=M28)*($AK$15:$AK$114=$U$2),0),2),"")</f>
        <v/>
      </c>
      <c r="N32" s="25" t="str">
        <f t="array" ref="N32">IFERROR(INDEX($AK$15:$AN$114,MATCH(1,(N28&gt;=$AM$15:$AM$114)*($AN$15:$AN$114&gt;=N28)*($AK$15:$AK$114=$U$2),0),2),"")</f>
        <v/>
      </c>
      <c r="O32" s="25" t="str">
        <f t="array" ref="O32">IFERROR(INDEX($AK$15:$AN$114,MATCH(1,(O28&gt;=$AM$15:$AM$114)*($AN$15:$AN$114&gt;=O28)*($AK$15:$AK$114=$U$2),0),2),"")</f>
        <v>D ? !</v>
      </c>
      <c r="P32" s="25" t="str">
        <f t="array" ref="P32">IFERROR(INDEX($AK$15:$AN$114,MATCH(1,(P28&gt;=$AM$15:$AM$114)*($AN$15:$AN$114&gt;=P28)*($AK$15:$AK$114=$U$2),0),2),"")</f>
        <v>D ? !</v>
      </c>
      <c r="Q32" s="25" t="str">
        <f t="array" ref="Q32">IFERROR(INDEX($AK$15:$AN$114,MATCH(1,(Q28&gt;=$AM$15:$AM$114)*($AN$15:$AN$114&gt;=Q28)*($AK$15:$AK$114=$U$2),0),2),"")</f>
        <v>RTT</v>
      </c>
      <c r="R32" s="25" t="str">
        <f t="array" ref="R32">IFERROR(INDEX($AK$15:$AN$114,MATCH(1,(R28&gt;=$AM$15:$AM$114)*($AN$15:$AN$114&gt;=R28)*($AK$15:$AK$114=$U$2),0),2),"")</f>
        <v>RTT</v>
      </c>
      <c r="S32" s="25" t="str">
        <f t="array" ref="S32">IFERROR(INDEX($AK$15:$AN$114,MATCH(1,(S28&gt;=$AM$15:$AM$114)*($AN$15:$AN$114&gt;=S28)*($AK$15:$AK$114=$U$2),0),2),"")</f>
        <v>RTT</v>
      </c>
      <c r="T32" s="25" t="str">
        <f t="array" ref="T32">IFERROR(INDEX($AK$15:$AN$114,MATCH(1,(T28&gt;=$AM$15:$AM$114)*($AN$15:$AN$114&gt;=T28)*($AK$15:$AK$114=$U$2),0),2),"")</f>
        <v>RTT</v>
      </c>
      <c r="U32" s="25" t="str">
        <f t="array" ref="U32">IFERROR(INDEX($AK$15:$AN$114,MATCH(1,(U28&gt;=$AM$15:$AM$114)*($AN$15:$AN$114&gt;=U28)*($AK$15:$AK$114=$U$2),0),2),"")</f>
        <v/>
      </c>
      <c r="V32" s="25" t="str">
        <f t="array" ref="V32">IFERROR(INDEX($AK$15:$AN$114,MATCH(1,(V28&gt;=$AM$15:$AM$114)*($AN$15:$AN$114&gt;=V28)*($AK$15:$AK$114=$U$2),0),2),"")</f>
        <v/>
      </c>
      <c r="W32" s="25" t="str">
        <f t="array" ref="W32">IFERROR(INDEX($AK$15:$AN$114,MATCH(1,(W28&gt;=$AM$15:$AM$114)*($AN$15:$AN$114&gt;=W28)*($AK$15:$AK$114=$U$2),0),2),"")</f>
        <v/>
      </c>
      <c r="X32" s="25" t="str">
        <f t="array" ref="X32">IFERROR(INDEX($AK$15:$AN$114,MATCH(1,(X28&gt;=$AM$15:$AM$114)*($AN$15:$AN$114&gt;=X28)*($AK$15:$AK$114=$U$2),0),2),"")</f>
        <v/>
      </c>
      <c r="Y32" s="25" t="str">
        <f t="array" ref="Y32">IFERROR(INDEX($AK$15:$AN$114,MATCH(1,(Y28&gt;=$AM$15:$AM$114)*($AN$15:$AN$114&gt;=Y28)*($AK$15:$AK$114=$U$2),0),2),"")</f>
        <v/>
      </c>
      <c r="Z32" s="25" t="str">
        <f t="array" ref="Z32">IFERROR(INDEX($AK$15:$AN$114,MATCH(1,(Z28&gt;=$AM$15:$AM$114)*($AN$15:$AN$114&gt;=Z28)*($AK$15:$AK$114=$U$2),0),2),"")</f>
        <v/>
      </c>
      <c r="AA32" s="25" t="str">
        <f t="array" ref="AA32">IFERROR(INDEX($AK$15:$AN$114,MATCH(1,(AA28&gt;=$AM$15:$AM$114)*($AN$15:$AN$114&gt;=AA28)*($AK$15:$AK$114=$U$2),0),2),"")</f>
        <v/>
      </c>
      <c r="AB32" s="25" t="str">
        <f t="array" ref="AB32">IFERROR(INDEX($AK$15:$AN$114,MATCH(1,(AB28&gt;=$AM$15:$AM$114)*($AN$15:$AN$114&gt;=AB28)*($AK$15:$AK$114=$U$2),0),2),"")</f>
        <v/>
      </c>
      <c r="AC32" s="25" t="str">
        <f t="array" ref="AC32">IFERROR(INDEX($AK$15:$AN$114,MATCH(1,(AC28&gt;=$AM$15:$AM$114)*($AN$15:$AN$114&gt;=AC28)*($AK$15:$AK$114=$U$2),0),2),"")</f>
        <v/>
      </c>
      <c r="AD32" s="25" t="str">
        <f t="array" ref="AD32">IFERROR(INDEX($AK$15:$AN$114,MATCH(1,(AD28&gt;=$AM$15:$AM$114)*($AN$15:$AN$114&gt;=AD28)*($AK$15:$AK$114=$U$2),0),2),"")</f>
        <v/>
      </c>
      <c r="AE32" s="25" t="str">
        <f t="array" ref="AE32">IFERROR(INDEX($AK$15:$AN$114,MATCH(1,(AE28&gt;=$AM$15:$AM$114)*($AN$15:$AN$114&gt;=AE28)*($AK$15:$AK$114=$U$2),0),2),"")</f>
        <v/>
      </c>
      <c r="AF32" s="25" t="str">
        <f t="array" ref="AF32">IFERROR(INDEX($AK$15:$AN$114,MATCH(1,(AF28&gt;=$AM$15:$AM$114)*($AN$15:$AN$114&gt;=AF28)*($AK$15:$AK$114=$U$2),0),2),"")</f>
        <v/>
      </c>
      <c r="AG32" s="645" t="str">
        <f t="array" ref="AG32">IFERROR(INDEX($AK$15:$AN$114,MATCH(1,(AG28&gt;=$AM$15:$AM$114)*($AN$15:$AN$114&gt;=AG28)*($AK$15:$AK$114=$U$2),0),2),"")</f>
        <v/>
      </c>
      <c r="AH32" s="649">
        <f>COUNTIF(C32:AG32,AI32)</f>
        <v>2</v>
      </c>
      <c r="AI32" s="641" t="s">
        <v>362</v>
      </c>
      <c r="AJ32" s="13">
        <v>18</v>
      </c>
      <c r="AL32" s="23"/>
      <c r="AM32" s="31"/>
      <c r="AN32" s="31"/>
      <c r="AO32" s="635">
        <f>Absences26810126[[#This Row],[debut]]</f>
        <v>0</v>
      </c>
      <c r="BZ32" s="359">
        <f t="shared" si="13"/>
        <v>44511</v>
      </c>
      <c r="CA32" s="360">
        <f>DATE(BZ4+1,11,11)</f>
        <v>44511</v>
      </c>
      <c r="CB32" s="361" t="s">
        <v>587</v>
      </c>
      <c r="CC32" s="563"/>
      <c r="CD32" s="563"/>
      <c r="CE32" s="563"/>
    </row>
    <row r="33" spans="1:83" ht="14.25" customHeight="1" x14ac:dyDescent="0.25">
      <c r="A33" s="651"/>
      <c r="B33" s="20">
        <f>DATE($C$2,MONTH(1&amp;"/"&amp;C34),1)</f>
        <v>43983</v>
      </c>
      <c r="C33" s="14">
        <f>B33</f>
        <v>43983</v>
      </c>
      <c r="D33" s="14">
        <f>IFERROR(IF(C33+1&gt;$B$34,"",C33+1),"")</f>
        <v>43984</v>
      </c>
      <c r="E33" s="14">
        <f t="shared" ref="E33:AG33" si="22">IFERROR(IF(D33+1&gt;$B$34,"",D33+1),"")</f>
        <v>43985</v>
      </c>
      <c r="F33" s="14">
        <f t="shared" si="22"/>
        <v>43986</v>
      </c>
      <c r="G33" s="14">
        <f t="shared" si="22"/>
        <v>43987</v>
      </c>
      <c r="H33" s="14">
        <f t="shared" si="22"/>
        <v>43988</v>
      </c>
      <c r="I33" s="14">
        <f t="shared" si="22"/>
        <v>43989</v>
      </c>
      <c r="J33" s="14">
        <f t="shared" si="22"/>
        <v>43990</v>
      </c>
      <c r="K33" s="14">
        <f t="shared" si="22"/>
        <v>43991</v>
      </c>
      <c r="L33" s="14">
        <f t="shared" si="22"/>
        <v>43992</v>
      </c>
      <c r="M33" s="14">
        <f t="shared" si="22"/>
        <v>43993</v>
      </c>
      <c r="N33" s="14">
        <f t="shared" si="22"/>
        <v>43994</v>
      </c>
      <c r="O33" s="14">
        <f t="shared" si="22"/>
        <v>43995</v>
      </c>
      <c r="P33" s="14">
        <f t="shared" si="22"/>
        <v>43996</v>
      </c>
      <c r="Q33" s="14">
        <f t="shared" si="22"/>
        <v>43997</v>
      </c>
      <c r="R33" s="14">
        <f t="shared" si="22"/>
        <v>43998</v>
      </c>
      <c r="S33" s="14">
        <f t="shared" si="22"/>
        <v>43999</v>
      </c>
      <c r="T33" s="14">
        <f t="shared" si="22"/>
        <v>44000</v>
      </c>
      <c r="U33" s="14">
        <f t="shared" si="22"/>
        <v>44001</v>
      </c>
      <c r="V33" s="14">
        <f t="shared" si="22"/>
        <v>44002</v>
      </c>
      <c r="W33" s="14">
        <f t="shared" si="22"/>
        <v>44003</v>
      </c>
      <c r="X33" s="14">
        <f t="shared" si="22"/>
        <v>44004</v>
      </c>
      <c r="Y33" s="14">
        <f t="shared" si="22"/>
        <v>44005</v>
      </c>
      <c r="Z33" s="14">
        <f t="shared" si="22"/>
        <v>44006</v>
      </c>
      <c r="AA33" s="14">
        <f t="shared" si="22"/>
        <v>44007</v>
      </c>
      <c r="AB33" s="14">
        <f t="shared" si="22"/>
        <v>44008</v>
      </c>
      <c r="AC33" s="14">
        <f t="shared" si="22"/>
        <v>44009</v>
      </c>
      <c r="AD33" s="14">
        <f t="shared" si="22"/>
        <v>44010</v>
      </c>
      <c r="AE33" s="14">
        <f t="shared" si="22"/>
        <v>44011</v>
      </c>
      <c r="AF33" s="14">
        <f t="shared" si="22"/>
        <v>44012</v>
      </c>
      <c r="AG33" s="642" t="str">
        <f t="shared" si="22"/>
        <v/>
      </c>
      <c r="AH33" s="647">
        <f>COUNTIF(C37:AG37,AI33)</f>
        <v>0</v>
      </c>
      <c r="AI33" s="640" t="s">
        <v>8</v>
      </c>
      <c r="AJ33" s="13">
        <v>19</v>
      </c>
      <c r="AL33" s="23"/>
      <c r="AM33" s="31"/>
      <c r="AN33" s="31"/>
      <c r="AO33" s="635">
        <f>Absences26810126[[#This Row],[debut]]</f>
        <v>0</v>
      </c>
      <c r="BZ33" s="359">
        <f t="shared" si="13"/>
        <v>44555</v>
      </c>
      <c r="CA33" s="360">
        <f>DATE(BZ4+1,12,25)</f>
        <v>44555</v>
      </c>
      <c r="CB33" s="361" t="s">
        <v>723</v>
      </c>
      <c r="CC33" s="563"/>
      <c r="CD33" s="563"/>
      <c r="CE33" s="563"/>
    </row>
    <row r="34" spans="1:83" ht="18.75" x14ac:dyDescent="0.25">
      <c r="A34" s="652"/>
      <c r="B34" s="21">
        <f>EOMONTH(B33,0)</f>
        <v>44012</v>
      </c>
      <c r="C34" s="1479" t="s">
        <v>47</v>
      </c>
      <c r="D34" s="1480"/>
      <c r="E34" s="1480"/>
      <c r="F34" s="1480"/>
      <c r="G34" s="1480"/>
      <c r="H34" s="1480"/>
      <c r="I34" s="1480"/>
      <c r="J34" s="1480"/>
      <c r="K34" s="1480"/>
      <c r="L34" s="1480"/>
      <c r="M34" s="1480"/>
      <c r="N34" s="1480"/>
      <c r="O34" s="1480"/>
      <c r="P34" s="1480"/>
      <c r="Q34" s="1480"/>
      <c r="R34" s="1480"/>
      <c r="S34" s="1480"/>
      <c r="T34" s="1480"/>
      <c r="U34" s="1480"/>
      <c r="V34" s="1480"/>
      <c r="W34" s="1480"/>
      <c r="X34" s="1480"/>
      <c r="Y34" s="1480"/>
      <c r="Z34" s="1480"/>
      <c r="AA34" s="1480"/>
      <c r="AB34" s="1480"/>
      <c r="AC34" s="1480"/>
      <c r="AD34" s="1480"/>
      <c r="AE34" s="1480"/>
      <c r="AF34" s="1480"/>
      <c r="AG34" s="1480"/>
      <c r="AH34" s="648">
        <f>COUNTIF(C37:AG37,AI34)</f>
        <v>0</v>
      </c>
      <c r="AI34" s="629" t="s">
        <v>360</v>
      </c>
      <c r="AJ34" s="13">
        <v>20</v>
      </c>
      <c r="AL34" s="23"/>
      <c r="AM34" s="31"/>
      <c r="AN34" s="31"/>
      <c r="AO34" s="635">
        <f>Absences26810126[[#This Row],[debut]]</f>
        <v>0</v>
      </c>
      <c r="BZ34" s="366">
        <f>CA34</f>
        <v>44562</v>
      </c>
      <c r="CA34" s="367">
        <f>DATE(BZ4+2,1,1)</f>
        <v>44562</v>
      </c>
      <c r="CB34" s="368" t="s">
        <v>721</v>
      </c>
      <c r="CC34" s="563"/>
      <c r="CD34" s="563"/>
      <c r="CE34" s="563"/>
    </row>
    <row r="35" spans="1:83" x14ac:dyDescent="0.25">
      <c r="A35" s="654" t="s">
        <v>662</v>
      </c>
      <c r="B35" s="657">
        <f>COUNTIF(C37:AG37,A35)</f>
        <v>17</v>
      </c>
      <c r="C35" s="6">
        <f t="shared" ref="C35:AG35" si="23">IFERROR(DAY(C33),"")</f>
        <v>1</v>
      </c>
      <c r="D35" s="3">
        <f t="shared" si="23"/>
        <v>2</v>
      </c>
      <c r="E35" s="3">
        <f t="shared" si="23"/>
        <v>3</v>
      </c>
      <c r="F35" s="3">
        <f t="shared" si="23"/>
        <v>4</v>
      </c>
      <c r="G35" s="3">
        <f t="shared" si="23"/>
        <v>5</v>
      </c>
      <c r="H35" s="3">
        <f t="shared" si="23"/>
        <v>6</v>
      </c>
      <c r="I35" s="3">
        <f t="shared" si="23"/>
        <v>7</v>
      </c>
      <c r="J35" s="3">
        <f t="shared" si="23"/>
        <v>8</v>
      </c>
      <c r="K35" s="3">
        <f t="shared" si="23"/>
        <v>9</v>
      </c>
      <c r="L35" s="3">
        <f t="shared" si="23"/>
        <v>10</v>
      </c>
      <c r="M35" s="3">
        <f t="shared" si="23"/>
        <v>11</v>
      </c>
      <c r="N35" s="3">
        <f t="shared" si="23"/>
        <v>12</v>
      </c>
      <c r="O35" s="3">
        <f t="shared" si="23"/>
        <v>13</v>
      </c>
      <c r="P35" s="3">
        <f t="shared" si="23"/>
        <v>14</v>
      </c>
      <c r="Q35" s="3">
        <f t="shared" si="23"/>
        <v>15</v>
      </c>
      <c r="R35" s="3">
        <f t="shared" si="23"/>
        <v>16</v>
      </c>
      <c r="S35" s="3">
        <f t="shared" si="23"/>
        <v>17</v>
      </c>
      <c r="T35" s="3">
        <f t="shared" si="23"/>
        <v>18</v>
      </c>
      <c r="U35" s="3">
        <f t="shared" si="23"/>
        <v>19</v>
      </c>
      <c r="V35" s="3">
        <f t="shared" si="23"/>
        <v>20</v>
      </c>
      <c r="W35" s="3">
        <f t="shared" si="23"/>
        <v>21</v>
      </c>
      <c r="X35" s="3">
        <f t="shared" si="23"/>
        <v>22</v>
      </c>
      <c r="Y35" s="3">
        <f t="shared" si="23"/>
        <v>23</v>
      </c>
      <c r="Z35" s="3">
        <f t="shared" si="23"/>
        <v>24</v>
      </c>
      <c r="AA35" s="3">
        <f t="shared" si="23"/>
        <v>25</v>
      </c>
      <c r="AB35" s="3">
        <f t="shared" si="23"/>
        <v>26</v>
      </c>
      <c r="AC35" s="3">
        <f t="shared" si="23"/>
        <v>27</v>
      </c>
      <c r="AD35" s="3">
        <f t="shared" si="23"/>
        <v>28</v>
      </c>
      <c r="AE35" s="3">
        <f t="shared" si="23"/>
        <v>29</v>
      </c>
      <c r="AF35" s="3">
        <f t="shared" si="23"/>
        <v>30</v>
      </c>
      <c r="AG35" s="643" t="str">
        <f t="shared" si="23"/>
        <v/>
      </c>
      <c r="AH35" s="648">
        <f>COUNTIF(C37:AG37,AI35)</f>
        <v>0</v>
      </c>
      <c r="AI35" s="10" t="s">
        <v>6</v>
      </c>
      <c r="AJ35" s="13">
        <v>21</v>
      </c>
      <c r="AL35" s="23"/>
      <c r="AM35" s="31"/>
      <c r="AN35" s="31"/>
      <c r="AO35" s="635">
        <f>Absences26810126[[#This Row],[debut]]</f>
        <v>0</v>
      </c>
    </row>
    <row r="36" spans="1:83" x14ac:dyDescent="0.25">
      <c r="A36" s="655" t="s">
        <v>800</v>
      </c>
      <c r="B36" s="658">
        <f>COUNTIF(C37:AG37,A36)</f>
        <v>0</v>
      </c>
      <c r="C36" s="5">
        <f t="shared" ref="C36:AC36" si="24">IF(C33="","",WEEKDAY(C33,1))</f>
        <v>2</v>
      </c>
      <c r="D36" s="8">
        <f t="shared" si="24"/>
        <v>3</v>
      </c>
      <c r="E36" s="8">
        <f t="shared" si="24"/>
        <v>4</v>
      </c>
      <c r="F36" s="8">
        <f t="shared" si="24"/>
        <v>5</v>
      </c>
      <c r="G36" s="8">
        <f t="shared" si="24"/>
        <v>6</v>
      </c>
      <c r="H36" s="8">
        <f t="shared" si="24"/>
        <v>7</v>
      </c>
      <c r="I36" s="8">
        <f t="shared" si="24"/>
        <v>1</v>
      </c>
      <c r="J36" s="8">
        <f t="shared" si="24"/>
        <v>2</v>
      </c>
      <c r="K36" s="8">
        <f t="shared" si="24"/>
        <v>3</v>
      </c>
      <c r="L36" s="8">
        <f t="shared" si="24"/>
        <v>4</v>
      </c>
      <c r="M36" s="8">
        <f t="shared" si="24"/>
        <v>5</v>
      </c>
      <c r="N36" s="8">
        <f t="shared" si="24"/>
        <v>6</v>
      </c>
      <c r="O36" s="8">
        <f t="shared" si="24"/>
        <v>7</v>
      </c>
      <c r="P36" s="8">
        <f t="shared" si="24"/>
        <v>1</v>
      </c>
      <c r="Q36" s="8">
        <f t="shared" si="24"/>
        <v>2</v>
      </c>
      <c r="R36" s="8">
        <f t="shared" si="24"/>
        <v>3</v>
      </c>
      <c r="S36" s="8">
        <f t="shared" si="24"/>
        <v>4</v>
      </c>
      <c r="T36" s="8">
        <f t="shared" si="24"/>
        <v>5</v>
      </c>
      <c r="U36" s="8">
        <f t="shared" si="24"/>
        <v>6</v>
      </c>
      <c r="V36" s="8">
        <f t="shared" si="24"/>
        <v>7</v>
      </c>
      <c r="W36" s="8">
        <f t="shared" si="24"/>
        <v>1</v>
      </c>
      <c r="X36" s="8">
        <f t="shared" si="24"/>
        <v>2</v>
      </c>
      <c r="Y36" s="8">
        <f t="shared" si="24"/>
        <v>3</v>
      </c>
      <c r="Z36" s="8">
        <f t="shared" si="24"/>
        <v>4</v>
      </c>
      <c r="AA36" s="8">
        <f t="shared" si="24"/>
        <v>5</v>
      </c>
      <c r="AB36" s="8">
        <f t="shared" si="24"/>
        <v>6</v>
      </c>
      <c r="AC36" s="8">
        <f t="shared" si="24"/>
        <v>7</v>
      </c>
      <c r="AD36" s="8">
        <f>IF(AD33="","",WEEKDAY(AD33,1))</f>
        <v>1</v>
      </c>
      <c r="AE36" s="8">
        <f>IF(AE33="","",WEEKDAY(AE33,1))</f>
        <v>2</v>
      </c>
      <c r="AF36" s="8">
        <f t="shared" ref="AF36:AG36" si="25">IF(AF33="","",WEEKDAY(AF33,1))</f>
        <v>3</v>
      </c>
      <c r="AG36" s="644" t="str">
        <f t="shared" si="25"/>
        <v/>
      </c>
      <c r="AH36" s="648">
        <f>COUNTIF(C37:AG37,AI36)</f>
        <v>0</v>
      </c>
      <c r="AI36" s="633" t="s">
        <v>799</v>
      </c>
      <c r="AJ36" s="13">
        <v>22</v>
      </c>
      <c r="AL36" s="23"/>
      <c r="AM36" s="31"/>
      <c r="AN36" s="31"/>
      <c r="AO36" s="635">
        <f>Absences26810126[[#This Row],[debut]]</f>
        <v>0</v>
      </c>
    </row>
    <row r="37" spans="1:83" ht="16.5" thickBot="1" x14ac:dyDescent="0.3">
      <c r="A37" s="656" t="s">
        <v>7</v>
      </c>
      <c r="B37" s="659">
        <f>COUNTIF(C37:AG37,A37)</f>
        <v>0</v>
      </c>
      <c r="C37" s="24" t="str">
        <f t="array" ref="C37">IFERROR(INDEX($AK$15:$AN$114,MATCH(1,(C33&gt;=$AM$15:$AM$114)*($AN$15:$AN$114&gt;=C33)*($AK$15:$AK$114=$U$2),0),2),"")</f>
        <v/>
      </c>
      <c r="D37" s="25" t="str">
        <f t="array" ref="D37">IFERROR(INDEX($AK$15:$AN$114,MATCH(1,(D33&gt;=$AM$15:$AM$114)*($AN$15:$AN$114&gt;=D33)*($AK$15:$AK$114=$U$2),0),2),"")</f>
        <v/>
      </c>
      <c r="E37" s="25" t="str">
        <f t="array" ref="E37">IFERROR(INDEX($AK$15:$AN$114,MATCH(1,(E33&gt;=$AM$15:$AM$114)*($AN$15:$AN$114&gt;=E33)*($AK$15:$AK$114=$U$2),0),2),"")</f>
        <v/>
      </c>
      <c r="F37" s="25" t="str">
        <f t="array" ref="F37">IFERROR(INDEX($AK$15:$AN$114,MATCH(1,(F33&gt;=$AM$15:$AM$114)*($AN$15:$AN$114&gt;=F33)*($AK$15:$AK$114=$U$2),0),2),"")</f>
        <v/>
      </c>
      <c r="G37" s="25" t="str">
        <f t="array" ref="G37">IFERROR(INDEX($AK$15:$AN$114,MATCH(1,(G33&gt;=$AM$15:$AM$114)*($AN$15:$AN$114&gt;=G33)*($AK$15:$AK$114=$U$2),0),2),"")</f>
        <v/>
      </c>
      <c r="H37" s="25" t="str">
        <f t="array" ref="H37">IFERROR(INDEX($AK$15:$AN$114,MATCH(1,(H33&gt;=$AM$15:$AM$114)*($AN$15:$AN$114&gt;=H33)*($AK$15:$AK$114=$U$2),0),2),"")</f>
        <v/>
      </c>
      <c r="I37" s="25" t="str">
        <f t="array" ref="I37">IFERROR(INDEX($AK$15:$AN$114,MATCH(1,(I33&gt;=$AM$15:$AM$114)*($AN$15:$AN$114&gt;=I33)*($AK$15:$AK$114=$U$2),0),2),"")</f>
        <v/>
      </c>
      <c r="J37" s="25" t="str">
        <f t="array" ref="J37">IFERROR(INDEX($AK$15:$AN$114,MATCH(1,(J33&gt;=$AM$15:$AM$114)*($AN$15:$AN$114&gt;=J33)*($AK$15:$AK$114=$U$2),0),2),"")</f>
        <v/>
      </c>
      <c r="K37" s="25" t="str">
        <f t="array" ref="K37">IFERROR(INDEX($AK$15:$AN$114,MATCH(1,(K33&gt;=$AM$15:$AM$114)*($AN$15:$AN$114&gt;=K33)*($AK$15:$AK$114=$U$2),0),2),"")</f>
        <v/>
      </c>
      <c r="L37" s="25" t="str">
        <f t="array" ref="L37">IFERROR(INDEX($AK$15:$AN$114,MATCH(1,(L33&gt;=$AM$15:$AM$114)*($AN$15:$AN$114&gt;=L33)*($AK$15:$AK$114=$U$2),0),2),"")</f>
        <v/>
      </c>
      <c r="M37" s="25" t="str">
        <f t="array" ref="M37">IFERROR(INDEX($AK$15:$AN$114,MATCH(1,(M33&gt;=$AM$15:$AM$114)*($AN$15:$AN$114&gt;=M33)*($AK$15:$AK$114=$U$2),0),2),"")</f>
        <v/>
      </c>
      <c r="N37" s="25" t="str">
        <f t="array" ref="N37">IFERROR(INDEX($AK$15:$AN$114,MATCH(1,(N33&gt;=$AM$15:$AM$114)*($AN$15:$AN$114&gt;=N33)*($AK$15:$AK$114=$U$2),0),2),"")</f>
        <v/>
      </c>
      <c r="O37" s="25" t="str">
        <f t="array" ref="O37">IFERROR(INDEX($AK$15:$AN$114,MATCH(1,(O33&gt;=$AM$15:$AM$114)*($AN$15:$AN$114&gt;=O33)*($AK$15:$AK$114=$U$2),0),2),"")</f>
        <v>RH</v>
      </c>
      <c r="P37" s="25" t="str">
        <f t="array" ref="P37">IFERROR(INDEX($AK$15:$AN$114,MATCH(1,(P33&gt;=$AM$15:$AM$114)*($AN$15:$AN$114&gt;=P33)*($AK$15:$AK$114=$U$2),0),2),"")</f>
        <v>RH</v>
      </c>
      <c r="Q37" s="25" t="str">
        <f t="array" ref="Q37">IFERROR(INDEX($AK$15:$AN$114,MATCH(1,(Q33&gt;=$AM$15:$AM$114)*($AN$15:$AN$114&gt;=Q33)*($AK$15:$AK$114=$U$2),0),2),"")</f>
        <v>RH</v>
      </c>
      <c r="R37" s="25" t="str">
        <f t="array" ref="R37">IFERROR(INDEX($AK$15:$AN$114,MATCH(1,(R33&gt;=$AM$15:$AM$114)*($AN$15:$AN$114&gt;=R33)*($AK$15:$AK$114=$U$2),0),2),"")</f>
        <v>RH</v>
      </c>
      <c r="S37" s="25" t="str">
        <f t="array" ref="S37">IFERROR(INDEX($AK$15:$AN$114,MATCH(1,(S33&gt;=$AM$15:$AM$114)*($AN$15:$AN$114&gt;=S33)*($AK$15:$AK$114=$U$2),0),2),"")</f>
        <v>RH</v>
      </c>
      <c r="T37" s="25" t="str">
        <f t="array" ref="T37">IFERROR(INDEX($AK$15:$AN$114,MATCH(1,(T33&gt;=$AM$15:$AM$114)*($AN$15:$AN$114&gt;=T33)*($AK$15:$AK$114=$U$2),0),2),"")</f>
        <v>RH</v>
      </c>
      <c r="U37" s="25" t="str">
        <f t="array" ref="U37">IFERROR(INDEX($AK$15:$AN$114,MATCH(1,(U33&gt;=$AM$15:$AM$114)*($AN$15:$AN$114&gt;=U33)*($AK$15:$AK$114=$U$2),0),2),"")</f>
        <v>RH</v>
      </c>
      <c r="V37" s="25" t="str">
        <f t="array" ref="V37">IFERROR(INDEX($AK$15:$AN$114,MATCH(1,(V33&gt;=$AM$15:$AM$114)*($AN$15:$AN$114&gt;=V33)*($AK$15:$AK$114=$U$2),0),2),"")</f>
        <v>RH</v>
      </c>
      <c r="W37" s="25" t="str">
        <f t="array" ref="W37">IFERROR(INDEX($AK$15:$AN$114,MATCH(1,(W33&gt;=$AM$15:$AM$114)*($AN$15:$AN$114&gt;=W33)*($AK$15:$AK$114=$U$2),0),2),"")</f>
        <v>RH</v>
      </c>
      <c r="X37" s="25" t="str">
        <f t="array" ref="X37">IFERROR(INDEX($AK$15:$AN$114,MATCH(1,(X33&gt;=$AM$15:$AM$114)*($AN$15:$AN$114&gt;=X33)*($AK$15:$AK$114=$U$2),0),2),"")</f>
        <v>RH</v>
      </c>
      <c r="Y37" s="25" t="str">
        <f t="array" ref="Y37">IFERROR(INDEX($AK$15:$AN$114,MATCH(1,(Y33&gt;=$AM$15:$AM$114)*($AN$15:$AN$114&gt;=Y33)*($AK$15:$AK$114=$U$2),0),2),"")</f>
        <v>RH</v>
      </c>
      <c r="Z37" s="25" t="str">
        <f t="array" ref="Z37">IFERROR(INDEX($AK$15:$AN$114,MATCH(1,(Z33&gt;=$AM$15:$AM$114)*($AN$15:$AN$114&gt;=Z33)*($AK$15:$AK$114=$U$2),0),2),"")</f>
        <v>RH</v>
      </c>
      <c r="AA37" s="25" t="str">
        <f t="array" ref="AA37">IFERROR(INDEX($AK$15:$AN$114,MATCH(1,(AA33&gt;=$AM$15:$AM$114)*($AN$15:$AN$114&gt;=AA33)*($AK$15:$AK$114=$U$2),0),2),"")</f>
        <v>RH</v>
      </c>
      <c r="AB37" s="25" t="str">
        <f t="array" ref="AB37">IFERROR(INDEX($AK$15:$AN$114,MATCH(1,(AB33&gt;=$AM$15:$AM$114)*($AN$15:$AN$114&gt;=AB33)*($AK$15:$AK$114=$U$2),0),2),"")</f>
        <v>RH</v>
      </c>
      <c r="AC37" s="25" t="str">
        <f t="array" ref="AC37">IFERROR(INDEX($AK$15:$AN$114,MATCH(1,(AC33&gt;=$AM$15:$AM$114)*($AN$15:$AN$114&gt;=AC33)*($AK$15:$AK$114=$U$2),0),2),"")</f>
        <v>RH</v>
      </c>
      <c r="AD37" s="25" t="str">
        <f t="array" ref="AD37">IFERROR(INDEX($AK$15:$AN$114,MATCH(1,(AD33&gt;=$AM$15:$AM$114)*($AN$15:$AN$114&gt;=AD33)*($AK$15:$AK$114=$U$2),0),2),"")</f>
        <v>RH</v>
      </c>
      <c r="AE37" s="25" t="str">
        <f t="array" ref="AE37">IFERROR(INDEX($AK$15:$AN$114,MATCH(1,(AE33&gt;=$AM$15:$AM$114)*($AN$15:$AN$114&gt;=AE33)*($AK$15:$AK$114=$U$2),0),2),"")</f>
        <v>RH</v>
      </c>
      <c r="AF37" s="25" t="str">
        <f t="array" ref="AF37">IFERROR(INDEX($AK$15:$AN$114,MATCH(1,(AF33&gt;=$AM$15:$AM$114)*($AN$15:$AN$114&gt;=AF33)*($AK$15:$AK$114=$U$2),0),2),"")</f>
        <v/>
      </c>
      <c r="AG37" s="645" t="str">
        <f t="array" ref="AG37">IFERROR(INDEX($AK$15:$AN$114,MATCH(1,(AG33&gt;=$AM$15:$AM$114)*($AN$15:$AN$114&gt;=AG33)*($AK$15:$AK$114=$U$2),0),2),"")</f>
        <v/>
      </c>
      <c r="AH37" s="649">
        <f>COUNTIF(C37:AG37,AI37)</f>
        <v>0</v>
      </c>
      <c r="AI37" s="641" t="s">
        <v>362</v>
      </c>
      <c r="AJ37" s="13">
        <v>23</v>
      </c>
      <c r="AL37" s="23"/>
      <c r="AM37" s="31"/>
      <c r="AN37" s="31"/>
      <c r="AO37" s="635">
        <f>Absences26810126[[#This Row],[debut]]</f>
        <v>0</v>
      </c>
    </row>
    <row r="38" spans="1:83" ht="14.25" customHeight="1" x14ac:dyDescent="0.25">
      <c r="A38" s="651"/>
      <c r="B38" s="20">
        <f>DATE($C$2,MONTH(1&amp;"/"&amp;C39),1)</f>
        <v>44013</v>
      </c>
      <c r="C38" s="14">
        <f>B38</f>
        <v>44013</v>
      </c>
      <c r="D38" s="14">
        <f>IFERROR(IF(C38+1&gt;$B$39,"",C38+1),"")</f>
        <v>44014</v>
      </c>
      <c r="E38" s="14">
        <f t="shared" ref="E38:AG38" si="26">IFERROR(IF(D38+1&gt;$B$39,"",D38+1),"")</f>
        <v>44015</v>
      </c>
      <c r="F38" s="14">
        <f t="shared" si="26"/>
        <v>44016</v>
      </c>
      <c r="G38" s="14">
        <f t="shared" si="26"/>
        <v>44017</v>
      </c>
      <c r="H38" s="14">
        <f t="shared" si="26"/>
        <v>44018</v>
      </c>
      <c r="I38" s="14">
        <f t="shared" si="26"/>
        <v>44019</v>
      </c>
      <c r="J38" s="14">
        <f t="shared" si="26"/>
        <v>44020</v>
      </c>
      <c r="K38" s="14">
        <f t="shared" si="26"/>
        <v>44021</v>
      </c>
      <c r="L38" s="14">
        <f t="shared" si="26"/>
        <v>44022</v>
      </c>
      <c r="M38" s="14">
        <f t="shared" si="26"/>
        <v>44023</v>
      </c>
      <c r="N38" s="14">
        <f t="shared" si="26"/>
        <v>44024</v>
      </c>
      <c r="O38" s="14">
        <f t="shared" si="26"/>
        <v>44025</v>
      </c>
      <c r="P38" s="14">
        <f t="shared" si="26"/>
        <v>44026</v>
      </c>
      <c r="Q38" s="14">
        <f t="shared" si="26"/>
        <v>44027</v>
      </c>
      <c r="R38" s="14">
        <f t="shared" si="26"/>
        <v>44028</v>
      </c>
      <c r="S38" s="14">
        <f t="shared" si="26"/>
        <v>44029</v>
      </c>
      <c r="T38" s="14">
        <f t="shared" si="26"/>
        <v>44030</v>
      </c>
      <c r="U38" s="14">
        <f t="shared" si="26"/>
        <v>44031</v>
      </c>
      <c r="V38" s="14">
        <f t="shared" si="26"/>
        <v>44032</v>
      </c>
      <c r="W38" s="14">
        <f t="shared" si="26"/>
        <v>44033</v>
      </c>
      <c r="X38" s="14">
        <f t="shared" si="26"/>
        <v>44034</v>
      </c>
      <c r="Y38" s="14">
        <f t="shared" si="26"/>
        <v>44035</v>
      </c>
      <c r="Z38" s="14">
        <f t="shared" si="26"/>
        <v>44036</v>
      </c>
      <c r="AA38" s="14">
        <f t="shared" si="26"/>
        <v>44037</v>
      </c>
      <c r="AB38" s="14">
        <f t="shared" si="26"/>
        <v>44038</v>
      </c>
      <c r="AC38" s="14">
        <f t="shared" si="26"/>
        <v>44039</v>
      </c>
      <c r="AD38" s="14">
        <f t="shared" si="26"/>
        <v>44040</v>
      </c>
      <c r="AE38" s="14">
        <f t="shared" si="26"/>
        <v>44041</v>
      </c>
      <c r="AF38" s="14">
        <f t="shared" si="26"/>
        <v>44042</v>
      </c>
      <c r="AG38" s="642">
        <f t="shared" si="26"/>
        <v>44043</v>
      </c>
      <c r="AH38" s="647">
        <f>COUNTIF(C42:AG42,AI38)</f>
        <v>0</v>
      </c>
      <c r="AI38" s="640" t="s">
        <v>8</v>
      </c>
      <c r="AJ38" s="13">
        <v>24</v>
      </c>
      <c r="AL38" s="23"/>
      <c r="AM38" s="31"/>
      <c r="AN38" s="31"/>
      <c r="AO38" s="635">
        <f>Absences26810126[[#This Row],[debut]]</f>
        <v>0</v>
      </c>
    </row>
    <row r="39" spans="1:83" ht="18.75" x14ac:dyDescent="0.25">
      <c r="A39" s="652"/>
      <c r="B39" s="21">
        <f>EOMONTH(B38,0)</f>
        <v>44043</v>
      </c>
      <c r="C39" s="1476" t="s">
        <v>43</v>
      </c>
      <c r="D39" s="1477"/>
      <c r="E39" s="1477"/>
      <c r="F39" s="1477"/>
      <c r="G39" s="1477"/>
      <c r="H39" s="1477"/>
      <c r="I39" s="1477"/>
      <c r="J39" s="1477"/>
      <c r="K39" s="1477"/>
      <c r="L39" s="1477"/>
      <c r="M39" s="1477"/>
      <c r="N39" s="1477"/>
      <c r="O39" s="1477"/>
      <c r="P39" s="1477"/>
      <c r="Q39" s="1477"/>
      <c r="R39" s="1477"/>
      <c r="S39" s="1477"/>
      <c r="T39" s="1477"/>
      <c r="U39" s="1477"/>
      <c r="V39" s="1477"/>
      <c r="W39" s="1477"/>
      <c r="X39" s="1477"/>
      <c r="Y39" s="1477"/>
      <c r="Z39" s="1477"/>
      <c r="AA39" s="1477"/>
      <c r="AB39" s="1477"/>
      <c r="AC39" s="1477"/>
      <c r="AD39" s="1477"/>
      <c r="AE39" s="1477"/>
      <c r="AF39" s="1477"/>
      <c r="AG39" s="1477"/>
      <c r="AH39" s="648">
        <f>COUNTIF(C42:AG42,AI39)</f>
        <v>10</v>
      </c>
      <c r="AI39" s="629" t="s">
        <v>360</v>
      </c>
      <c r="AJ39" s="13">
        <v>25</v>
      </c>
      <c r="AL39" s="23"/>
      <c r="AM39" s="31"/>
      <c r="AN39" s="31"/>
      <c r="AO39" s="635">
        <f>Absences26810126[[#This Row],[debut]]</f>
        <v>0</v>
      </c>
    </row>
    <row r="40" spans="1:83" x14ac:dyDescent="0.25">
      <c r="A40" s="654" t="s">
        <v>662</v>
      </c>
      <c r="B40" s="657">
        <f>COUNTIF(C42:AG42,A40)</f>
        <v>0</v>
      </c>
      <c r="C40" s="6">
        <f t="shared" ref="C40:AG40" si="27">IFERROR(DAY(C38),"")</f>
        <v>1</v>
      </c>
      <c r="D40" s="3">
        <f t="shared" si="27"/>
        <v>2</v>
      </c>
      <c r="E40" s="3">
        <f t="shared" si="27"/>
        <v>3</v>
      </c>
      <c r="F40" s="3">
        <f t="shared" si="27"/>
        <v>4</v>
      </c>
      <c r="G40" s="3">
        <f t="shared" si="27"/>
        <v>5</v>
      </c>
      <c r="H40" s="3">
        <f t="shared" si="27"/>
        <v>6</v>
      </c>
      <c r="I40" s="3">
        <f t="shared" si="27"/>
        <v>7</v>
      </c>
      <c r="J40" s="3">
        <f t="shared" si="27"/>
        <v>8</v>
      </c>
      <c r="K40" s="3">
        <f t="shared" si="27"/>
        <v>9</v>
      </c>
      <c r="L40" s="3">
        <f t="shared" si="27"/>
        <v>10</v>
      </c>
      <c r="M40" s="3">
        <f t="shared" si="27"/>
        <v>11</v>
      </c>
      <c r="N40" s="3">
        <f t="shared" si="27"/>
        <v>12</v>
      </c>
      <c r="O40" s="3">
        <f t="shared" si="27"/>
        <v>13</v>
      </c>
      <c r="P40" s="3">
        <f t="shared" si="27"/>
        <v>14</v>
      </c>
      <c r="Q40" s="3">
        <f t="shared" si="27"/>
        <v>15</v>
      </c>
      <c r="R40" s="3">
        <f t="shared" si="27"/>
        <v>16</v>
      </c>
      <c r="S40" s="3">
        <f t="shared" si="27"/>
        <v>17</v>
      </c>
      <c r="T40" s="3">
        <f t="shared" si="27"/>
        <v>18</v>
      </c>
      <c r="U40" s="3">
        <f t="shared" si="27"/>
        <v>19</v>
      </c>
      <c r="V40" s="3">
        <f t="shared" si="27"/>
        <v>20</v>
      </c>
      <c r="W40" s="3">
        <f t="shared" si="27"/>
        <v>21</v>
      </c>
      <c r="X40" s="3">
        <f t="shared" si="27"/>
        <v>22</v>
      </c>
      <c r="Y40" s="3">
        <f t="shared" si="27"/>
        <v>23</v>
      </c>
      <c r="Z40" s="3">
        <f t="shared" si="27"/>
        <v>24</v>
      </c>
      <c r="AA40" s="3">
        <f t="shared" si="27"/>
        <v>25</v>
      </c>
      <c r="AB40" s="3">
        <f t="shared" si="27"/>
        <v>26</v>
      </c>
      <c r="AC40" s="3">
        <f t="shared" si="27"/>
        <v>27</v>
      </c>
      <c r="AD40" s="3">
        <f t="shared" si="27"/>
        <v>28</v>
      </c>
      <c r="AE40" s="3">
        <f t="shared" si="27"/>
        <v>29</v>
      </c>
      <c r="AF40" s="3">
        <f t="shared" si="27"/>
        <v>30</v>
      </c>
      <c r="AG40" s="643">
        <f t="shared" si="27"/>
        <v>31</v>
      </c>
      <c r="AH40" s="648">
        <f>COUNTIF(C42:AG42,AI40)</f>
        <v>0</v>
      </c>
      <c r="AI40" s="10" t="s">
        <v>6</v>
      </c>
      <c r="AJ40" s="13">
        <v>26</v>
      </c>
      <c r="AL40" s="23"/>
      <c r="AM40" s="31"/>
      <c r="AN40" s="31"/>
      <c r="AO40" s="635">
        <f>Absences26810126[[#This Row],[debut]]</f>
        <v>0</v>
      </c>
    </row>
    <row r="41" spans="1:83" x14ac:dyDescent="0.25">
      <c r="A41" s="655" t="s">
        <v>800</v>
      </c>
      <c r="B41" s="658">
        <f>COUNTIF(C42:AG42,A41)</f>
        <v>0</v>
      </c>
      <c r="C41" s="5">
        <f t="shared" ref="C41:AC41" si="28">IF(C38="","",WEEKDAY(C38,1))</f>
        <v>4</v>
      </c>
      <c r="D41" s="8">
        <f t="shared" si="28"/>
        <v>5</v>
      </c>
      <c r="E41" s="8">
        <f t="shared" si="28"/>
        <v>6</v>
      </c>
      <c r="F41" s="8">
        <f t="shared" si="28"/>
        <v>7</v>
      </c>
      <c r="G41" s="8">
        <f t="shared" si="28"/>
        <v>1</v>
      </c>
      <c r="H41" s="8">
        <f t="shared" si="28"/>
        <v>2</v>
      </c>
      <c r="I41" s="8">
        <f t="shared" si="28"/>
        <v>3</v>
      </c>
      <c r="J41" s="8">
        <f t="shared" si="28"/>
        <v>4</v>
      </c>
      <c r="K41" s="8">
        <f t="shared" si="28"/>
        <v>5</v>
      </c>
      <c r="L41" s="8">
        <f t="shared" si="28"/>
        <v>6</v>
      </c>
      <c r="M41" s="8">
        <f t="shared" si="28"/>
        <v>7</v>
      </c>
      <c r="N41" s="8">
        <f t="shared" si="28"/>
        <v>1</v>
      </c>
      <c r="O41" s="8">
        <f t="shared" si="28"/>
        <v>2</v>
      </c>
      <c r="P41" s="8">
        <f t="shared" si="28"/>
        <v>3</v>
      </c>
      <c r="Q41" s="8">
        <f t="shared" si="28"/>
        <v>4</v>
      </c>
      <c r="R41" s="8">
        <f t="shared" si="28"/>
        <v>5</v>
      </c>
      <c r="S41" s="8">
        <f t="shared" si="28"/>
        <v>6</v>
      </c>
      <c r="T41" s="8">
        <f t="shared" si="28"/>
        <v>7</v>
      </c>
      <c r="U41" s="8">
        <f t="shared" si="28"/>
        <v>1</v>
      </c>
      <c r="V41" s="8">
        <f t="shared" si="28"/>
        <v>2</v>
      </c>
      <c r="W41" s="8">
        <f t="shared" si="28"/>
        <v>3</v>
      </c>
      <c r="X41" s="8">
        <f t="shared" si="28"/>
        <v>4</v>
      </c>
      <c r="Y41" s="8">
        <f t="shared" si="28"/>
        <v>5</v>
      </c>
      <c r="Z41" s="8">
        <f t="shared" si="28"/>
        <v>6</v>
      </c>
      <c r="AA41" s="8">
        <f t="shared" si="28"/>
        <v>7</v>
      </c>
      <c r="AB41" s="8">
        <f t="shared" si="28"/>
        <v>1</v>
      </c>
      <c r="AC41" s="8">
        <f t="shared" si="28"/>
        <v>2</v>
      </c>
      <c r="AD41" s="8">
        <f>IF(AD38="","",WEEKDAY(AD38,1))</f>
        <v>3</v>
      </c>
      <c r="AE41" s="8">
        <f>IF(AE38="","",WEEKDAY(AE38,1))</f>
        <v>4</v>
      </c>
      <c r="AF41" s="8">
        <f t="shared" ref="AF41:AG41" si="29">IF(AF38="","",WEEKDAY(AF38,1))</f>
        <v>5</v>
      </c>
      <c r="AG41" s="644">
        <f t="shared" si="29"/>
        <v>6</v>
      </c>
      <c r="AH41" s="648">
        <f>COUNTIF(C42:AG42,AI41)</f>
        <v>0</v>
      </c>
      <c r="AI41" s="633" t="s">
        <v>799</v>
      </c>
      <c r="AJ41" s="13">
        <v>27</v>
      </c>
      <c r="AL41" s="23"/>
      <c r="AM41" s="31"/>
      <c r="AN41" s="31"/>
      <c r="AO41" s="635">
        <f>Absences26810126[[#This Row],[debut]]</f>
        <v>0</v>
      </c>
    </row>
    <row r="42" spans="1:83" ht="16.5" thickBot="1" x14ac:dyDescent="0.3">
      <c r="A42" s="656" t="s">
        <v>7</v>
      </c>
      <c r="B42" s="659">
        <f>COUNTIF(C42:AG42,A42)</f>
        <v>0</v>
      </c>
      <c r="C42" s="24" t="str">
        <f t="array" ref="C42">IFERROR(INDEX($AK$15:$AN$114,MATCH(1,(C38&gt;=$AM$15:$AM$114)*($AN$15:$AN$114&gt;=C38)*($AK$15:$AK$114=$U$2),0),2),"")</f>
        <v/>
      </c>
      <c r="D42" s="25" t="str">
        <f t="array" ref="D42">IFERROR(INDEX($AK$15:$AN$114,MATCH(1,(D38&gt;=$AM$15:$AM$114)*($AN$15:$AN$114&gt;=D38)*($AK$15:$AK$114=$U$2),0),2),"")</f>
        <v/>
      </c>
      <c r="E42" s="25" t="str">
        <f t="array" ref="E42">IFERROR(INDEX($AK$15:$AN$114,MATCH(1,(E38&gt;=$AM$15:$AM$114)*($AN$15:$AN$114&gt;=E38)*($AK$15:$AK$114=$U$2),0),2),"")</f>
        <v/>
      </c>
      <c r="F42" s="25" t="str">
        <f t="array" ref="F42">IFERROR(INDEX($AK$15:$AN$114,MATCH(1,(F38&gt;=$AM$15:$AM$114)*($AN$15:$AN$114&gt;=F38)*($AK$15:$AK$114=$U$2),0),2),"")</f>
        <v/>
      </c>
      <c r="G42" s="25" t="str">
        <f t="array" ref="G42">IFERROR(INDEX($AK$15:$AN$114,MATCH(1,(G38&gt;=$AM$15:$AM$114)*($AN$15:$AN$114&gt;=G38)*($AK$15:$AK$114=$U$2),0),2),"")</f>
        <v/>
      </c>
      <c r="H42" s="25" t="str">
        <f t="array" ref="H42">IFERROR(INDEX($AK$15:$AN$114,MATCH(1,(H38&gt;=$AM$15:$AM$114)*($AN$15:$AN$114&gt;=H38)*($AK$15:$AK$114=$U$2),0),2),"")</f>
        <v/>
      </c>
      <c r="I42" s="25" t="str">
        <f t="array" ref="I42">IFERROR(INDEX($AK$15:$AN$114,MATCH(1,(I38&gt;=$AM$15:$AM$114)*($AN$15:$AN$114&gt;=I38)*($AK$15:$AK$114=$U$2),0),2),"")</f>
        <v/>
      </c>
      <c r="J42" s="25" t="str">
        <f t="array" ref="J42">IFERROR(INDEX($AK$15:$AN$114,MATCH(1,(J38&gt;=$AM$15:$AM$114)*($AN$15:$AN$114&gt;=J38)*($AK$15:$AK$114=$U$2),0),2),"")</f>
        <v/>
      </c>
      <c r="K42" s="25" t="str">
        <f t="array" ref="K42">IFERROR(INDEX($AK$15:$AN$114,MATCH(1,(K38&gt;=$AM$15:$AM$114)*($AN$15:$AN$114&gt;=K38)*($AK$15:$AK$114=$U$2),0),2),"")</f>
        <v/>
      </c>
      <c r="L42" s="25" t="str">
        <f t="array" ref="L42">IFERROR(INDEX($AK$15:$AN$114,MATCH(1,(L38&gt;=$AM$15:$AM$114)*($AN$15:$AN$114&gt;=L38)*($AK$15:$AK$114=$U$2),0),2),"")</f>
        <v/>
      </c>
      <c r="M42" s="25" t="str">
        <f t="array" ref="M42">IFERROR(INDEX($AK$15:$AN$114,MATCH(1,(M38&gt;=$AM$15:$AM$114)*($AN$15:$AN$114&gt;=M38)*($AK$15:$AK$114=$U$2),0),2),"")</f>
        <v/>
      </c>
      <c r="N42" s="25" t="str">
        <f t="array" ref="N42">IFERROR(INDEX($AK$15:$AN$114,MATCH(1,(N38&gt;=$AM$15:$AM$114)*($AN$15:$AN$114&gt;=N38)*($AK$15:$AK$114=$U$2),0),2),"")</f>
        <v/>
      </c>
      <c r="O42" s="25" t="str">
        <f t="array" ref="O42">IFERROR(INDEX($AK$15:$AN$114,MATCH(1,(O38&gt;=$AM$15:$AM$114)*($AN$15:$AN$114&gt;=O38)*($AK$15:$AK$114=$U$2),0),2),"")</f>
        <v/>
      </c>
      <c r="P42" s="25" t="str">
        <f t="array" ref="P42">IFERROR(INDEX($AK$15:$AN$114,MATCH(1,(P38&gt;=$AM$15:$AM$114)*($AN$15:$AN$114&gt;=P38)*($AK$15:$AK$114=$U$2),0),2),"")</f>
        <v/>
      </c>
      <c r="Q42" s="25" t="str">
        <f t="array" ref="Q42">IFERROR(INDEX($AK$15:$AN$114,MATCH(1,(Q38&gt;=$AM$15:$AM$114)*($AN$15:$AN$114&gt;=Q38)*($AK$15:$AK$114=$U$2),0),2),"")</f>
        <v/>
      </c>
      <c r="R42" s="25" t="str">
        <f t="array" ref="R42">IFERROR(INDEX($AK$15:$AN$114,MATCH(1,(R38&gt;=$AM$15:$AM$114)*($AN$15:$AN$114&gt;=R38)*($AK$15:$AK$114=$U$2),0),2),"")</f>
        <v/>
      </c>
      <c r="S42" s="25" t="str">
        <f t="array" ref="S42">IFERROR(INDEX($AK$15:$AN$114,MATCH(1,(S38&gt;=$AM$15:$AM$114)*($AN$15:$AN$114&gt;=S38)*($AK$15:$AK$114=$U$2),0),2),"")</f>
        <v/>
      </c>
      <c r="T42" s="25" t="str">
        <f t="array" ref="T42">IFERROR(INDEX($AK$15:$AN$114,MATCH(1,(T38&gt;=$AM$15:$AM$114)*($AN$15:$AN$114&gt;=T38)*($AK$15:$AK$114=$U$2),0),2),"")</f>
        <v/>
      </c>
      <c r="U42" s="25" t="str">
        <f t="array" ref="U42">IFERROR(INDEX($AK$15:$AN$114,MATCH(1,(U38&gt;=$AM$15:$AM$114)*($AN$15:$AN$114&gt;=U38)*($AK$15:$AK$114=$U$2),0),2),"")</f>
        <v/>
      </c>
      <c r="V42" s="25" t="str">
        <f t="array" ref="V42">IFERROR(INDEX($AK$15:$AN$114,MATCH(1,(V38&gt;=$AM$15:$AM$114)*($AN$15:$AN$114&gt;=V38)*($AK$15:$AK$114=$U$2),0),2),"")</f>
        <v/>
      </c>
      <c r="W42" s="25" t="str">
        <f t="array" ref="W42">IFERROR(INDEX($AK$15:$AN$114,MATCH(1,(W38&gt;=$AM$15:$AM$114)*($AN$15:$AN$114&gt;=W38)*($AK$15:$AK$114=$U$2),0),2),"")</f>
        <v/>
      </c>
      <c r="X42" s="25" t="str">
        <f t="array" ref="X42">IFERROR(INDEX($AK$15:$AN$114,MATCH(1,(X38&gt;=$AM$15:$AM$114)*($AN$15:$AN$114&gt;=X38)*($AK$15:$AK$114=$U$2),0),2),"")</f>
        <v>Aap</v>
      </c>
      <c r="Y42" s="25" t="str">
        <f t="array" ref="Y42">IFERROR(INDEX($AK$15:$AN$114,MATCH(1,(Y38&gt;=$AM$15:$AM$114)*($AN$15:$AN$114&gt;=Y38)*($AK$15:$AK$114=$U$2),0),2),"")</f>
        <v>Aap</v>
      </c>
      <c r="Z42" s="25" t="str">
        <f t="array" ref="Z42">IFERROR(INDEX($AK$15:$AN$114,MATCH(1,(Z38&gt;=$AM$15:$AM$114)*($AN$15:$AN$114&gt;=Z38)*($AK$15:$AK$114=$U$2),0),2),"")</f>
        <v>Aap</v>
      </c>
      <c r="AA42" s="25" t="str">
        <f t="array" ref="AA42">IFERROR(INDEX($AK$15:$AN$114,MATCH(1,(AA38&gt;=$AM$15:$AM$114)*($AN$15:$AN$114&gt;=AA38)*($AK$15:$AK$114=$U$2),0),2),"")</f>
        <v>Aap</v>
      </c>
      <c r="AB42" s="25" t="str">
        <f t="array" ref="AB42">IFERROR(INDEX($AK$15:$AN$114,MATCH(1,(AB38&gt;=$AM$15:$AM$114)*($AN$15:$AN$114&gt;=AB38)*($AK$15:$AK$114=$U$2),0),2),"")</f>
        <v>Aap</v>
      </c>
      <c r="AC42" s="25" t="str">
        <f t="array" ref="AC42">IFERROR(INDEX($AK$15:$AN$114,MATCH(1,(AC38&gt;=$AM$15:$AM$114)*($AN$15:$AN$114&gt;=AC38)*($AK$15:$AK$114=$U$2),0),2),"")</f>
        <v>Aap</v>
      </c>
      <c r="AD42" s="25" t="str">
        <f t="array" ref="AD42">IFERROR(INDEX($AK$15:$AN$114,MATCH(1,(AD38&gt;=$AM$15:$AM$114)*($AN$15:$AN$114&gt;=AD38)*($AK$15:$AK$114=$U$2),0),2),"")</f>
        <v>Aap</v>
      </c>
      <c r="AE42" s="25" t="str">
        <f t="array" ref="AE42">IFERROR(INDEX($AK$15:$AN$114,MATCH(1,(AE38&gt;=$AM$15:$AM$114)*($AN$15:$AN$114&gt;=AE38)*($AK$15:$AK$114=$U$2),0),2),"")</f>
        <v>Aap</v>
      </c>
      <c r="AF42" s="25" t="str">
        <f t="array" ref="AF42">IFERROR(INDEX($AK$15:$AN$114,MATCH(1,(AF38&gt;=$AM$15:$AM$114)*($AN$15:$AN$114&gt;=AF38)*($AK$15:$AK$114=$U$2),0),2),"")</f>
        <v>Aap</v>
      </c>
      <c r="AG42" s="645" t="str">
        <f t="array" ref="AG42">IFERROR(INDEX($AK$15:$AN$114,MATCH(1,(AG38&gt;=$AM$15:$AM$114)*($AN$15:$AN$114&gt;=AG38)*($AK$15:$AK$114=$U$2),0),2),"")</f>
        <v>Aap</v>
      </c>
      <c r="AH42" s="649">
        <f>COUNTIF(C42:AG42,AI42)</f>
        <v>0</v>
      </c>
      <c r="AI42" s="641" t="s">
        <v>362</v>
      </c>
      <c r="AJ42" s="13">
        <v>28</v>
      </c>
      <c r="AL42" s="23"/>
      <c r="AM42" s="31"/>
      <c r="AN42" s="31"/>
      <c r="AO42" s="635">
        <f>Absences26810126[[#This Row],[debut]]</f>
        <v>0</v>
      </c>
    </row>
    <row r="43" spans="1:83" ht="14.25" customHeight="1" x14ac:dyDescent="0.25">
      <c r="A43" s="651"/>
      <c r="B43" s="20">
        <f>DATE($C$2,MONTH(1&amp;"/"&amp;C44),1)</f>
        <v>44044</v>
      </c>
      <c r="C43" s="14">
        <f>B43</f>
        <v>44044</v>
      </c>
      <c r="D43" s="14">
        <f>IFERROR(IF(C43+1&gt;$B$44,"",C43+1),"")</f>
        <v>44045</v>
      </c>
      <c r="E43" s="14">
        <f t="shared" ref="E43:AG43" si="30">IFERROR(IF(D43+1&gt;$B$44,"",D43+1),"")</f>
        <v>44046</v>
      </c>
      <c r="F43" s="14">
        <f t="shared" si="30"/>
        <v>44047</v>
      </c>
      <c r="G43" s="14">
        <f t="shared" si="30"/>
        <v>44048</v>
      </c>
      <c r="H43" s="14">
        <f t="shared" si="30"/>
        <v>44049</v>
      </c>
      <c r="I43" s="14">
        <f t="shared" si="30"/>
        <v>44050</v>
      </c>
      <c r="J43" s="14">
        <f t="shared" si="30"/>
        <v>44051</v>
      </c>
      <c r="K43" s="14">
        <f t="shared" si="30"/>
        <v>44052</v>
      </c>
      <c r="L43" s="14">
        <f t="shared" si="30"/>
        <v>44053</v>
      </c>
      <c r="M43" s="14">
        <f t="shared" si="30"/>
        <v>44054</v>
      </c>
      <c r="N43" s="14">
        <f t="shared" si="30"/>
        <v>44055</v>
      </c>
      <c r="O43" s="14">
        <f t="shared" si="30"/>
        <v>44056</v>
      </c>
      <c r="P43" s="14">
        <f t="shared" si="30"/>
        <v>44057</v>
      </c>
      <c r="Q43" s="14">
        <f t="shared" si="30"/>
        <v>44058</v>
      </c>
      <c r="R43" s="14">
        <f t="shared" si="30"/>
        <v>44059</v>
      </c>
      <c r="S43" s="14">
        <f t="shared" si="30"/>
        <v>44060</v>
      </c>
      <c r="T43" s="14">
        <f t="shared" si="30"/>
        <v>44061</v>
      </c>
      <c r="U43" s="14">
        <f t="shared" si="30"/>
        <v>44062</v>
      </c>
      <c r="V43" s="14">
        <f t="shared" si="30"/>
        <v>44063</v>
      </c>
      <c r="W43" s="14">
        <f t="shared" si="30"/>
        <v>44064</v>
      </c>
      <c r="X43" s="14">
        <f t="shared" si="30"/>
        <v>44065</v>
      </c>
      <c r="Y43" s="14">
        <f t="shared" si="30"/>
        <v>44066</v>
      </c>
      <c r="Z43" s="14">
        <f t="shared" si="30"/>
        <v>44067</v>
      </c>
      <c r="AA43" s="14">
        <f t="shared" si="30"/>
        <v>44068</v>
      </c>
      <c r="AB43" s="14">
        <f t="shared" si="30"/>
        <v>44069</v>
      </c>
      <c r="AC43" s="14">
        <f t="shared" si="30"/>
        <v>44070</v>
      </c>
      <c r="AD43" s="14">
        <f t="shared" si="30"/>
        <v>44071</v>
      </c>
      <c r="AE43" s="14">
        <f t="shared" si="30"/>
        <v>44072</v>
      </c>
      <c r="AF43" s="14">
        <f t="shared" si="30"/>
        <v>44073</v>
      </c>
      <c r="AG43" s="642">
        <f t="shared" si="30"/>
        <v>44074</v>
      </c>
      <c r="AH43" s="647">
        <f>COUNTIF(C47:AG47,AI43)</f>
        <v>0</v>
      </c>
      <c r="AI43" s="640" t="s">
        <v>8</v>
      </c>
      <c r="AJ43" s="13">
        <v>29</v>
      </c>
      <c r="AL43" s="23"/>
      <c r="AM43" s="31"/>
      <c r="AN43" s="31"/>
      <c r="AO43" s="635">
        <f>Absences26810126[[#This Row],[debut]]</f>
        <v>0</v>
      </c>
    </row>
    <row r="44" spans="1:83" ht="18.75" x14ac:dyDescent="0.25">
      <c r="A44" s="652"/>
      <c r="B44" s="21">
        <f>EOMONTH(B43,0)</f>
        <v>44074</v>
      </c>
      <c r="C44" s="1476" t="s">
        <v>42</v>
      </c>
      <c r="D44" s="1477"/>
      <c r="E44" s="1477"/>
      <c r="F44" s="1477"/>
      <c r="G44" s="1477"/>
      <c r="H44" s="1477"/>
      <c r="I44" s="1477"/>
      <c r="J44" s="1477"/>
      <c r="K44" s="1477"/>
      <c r="L44" s="1477"/>
      <c r="M44" s="1477"/>
      <c r="N44" s="1477"/>
      <c r="O44" s="1477"/>
      <c r="P44" s="1477"/>
      <c r="Q44" s="1477"/>
      <c r="R44" s="1477"/>
      <c r="S44" s="1477"/>
      <c r="T44" s="1477"/>
      <c r="U44" s="1477"/>
      <c r="V44" s="1477"/>
      <c r="W44" s="1477"/>
      <c r="X44" s="1477"/>
      <c r="Y44" s="1477"/>
      <c r="Z44" s="1477"/>
      <c r="AA44" s="1477"/>
      <c r="AB44" s="1477"/>
      <c r="AC44" s="1477"/>
      <c r="AD44" s="1477"/>
      <c r="AE44" s="1477"/>
      <c r="AF44" s="1477"/>
      <c r="AG44" s="1477"/>
      <c r="AH44" s="648">
        <f>COUNTIF(C47:AG47,AI44)</f>
        <v>11</v>
      </c>
      <c r="AI44" s="629" t="s">
        <v>360</v>
      </c>
      <c r="AJ44" s="13">
        <v>30</v>
      </c>
      <c r="AL44" s="23"/>
      <c r="AM44" s="31"/>
      <c r="AN44" s="31"/>
      <c r="AO44" s="635">
        <f>Absences26810126[[#This Row],[debut]]</f>
        <v>0</v>
      </c>
    </row>
    <row r="45" spans="1:83" x14ac:dyDescent="0.25">
      <c r="A45" s="654" t="s">
        <v>662</v>
      </c>
      <c r="B45" s="657">
        <f>COUNTIF(C47:AG47,A45)</f>
        <v>0</v>
      </c>
      <c r="C45" s="6">
        <f t="shared" ref="C45:AG45" si="31">IFERROR(DAY(C43),"")</f>
        <v>1</v>
      </c>
      <c r="D45" s="3">
        <f t="shared" si="31"/>
        <v>2</v>
      </c>
      <c r="E45" s="3">
        <f t="shared" si="31"/>
        <v>3</v>
      </c>
      <c r="F45" s="3">
        <f t="shared" si="31"/>
        <v>4</v>
      </c>
      <c r="G45" s="3">
        <f t="shared" si="31"/>
        <v>5</v>
      </c>
      <c r="H45" s="3">
        <f t="shared" si="31"/>
        <v>6</v>
      </c>
      <c r="I45" s="3">
        <f t="shared" si="31"/>
        <v>7</v>
      </c>
      <c r="J45" s="3">
        <f t="shared" si="31"/>
        <v>8</v>
      </c>
      <c r="K45" s="3">
        <f t="shared" si="31"/>
        <v>9</v>
      </c>
      <c r="L45" s="3">
        <f t="shared" si="31"/>
        <v>10</v>
      </c>
      <c r="M45" s="3">
        <f t="shared" si="31"/>
        <v>11</v>
      </c>
      <c r="N45" s="3">
        <f t="shared" si="31"/>
        <v>12</v>
      </c>
      <c r="O45" s="3">
        <f t="shared" si="31"/>
        <v>13</v>
      </c>
      <c r="P45" s="3">
        <f t="shared" si="31"/>
        <v>14</v>
      </c>
      <c r="Q45" s="3">
        <f t="shared" si="31"/>
        <v>15</v>
      </c>
      <c r="R45" s="3">
        <f t="shared" si="31"/>
        <v>16</v>
      </c>
      <c r="S45" s="3">
        <f t="shared" si="31"/>
        <v>17</v>
      </c>
      <c r="T45" s="3">
        <f t="shared" si="31"/>
        <v>18</v>
      </c>
      <c r="U45" s="3">
        <f t="shared" si="31"/>
        <v>19</v>
      </c>
      <c r="V45" s="3">
        <f t="shared" si="31"/>
        <v>20</v>
      </c>
      <c r="W45" s="3">
        <f t="shared" si="31"/>
        <v>21</v>
      </c>
      <c r="X45" s="3">
        <f t="shared" si="31"/>
        <v>22</v>
      </c>
      <c r="Y45" s="3">
        <f t="shared" si="31"/>
        <v>23</v>
      </c>
      <c r="Z45" s="3">
        <f t="shared" si="31"/>
        <v>24</v>
      </c>
      <c r="AA45" s="3">
        <f t="shared" si="31"/>
        <v>25</v>
      </c>
      <c r="AB45" s="3">
        <f t="shared" si="31"/>
        <v>26</v>
      </c>
      <c r="AC45" s="3">
        <f t="shared" si="31"/>
        <v>27</v>
      </c>
      <c r="AD45" s="3">
        <f t="shared" si="31"/>
        <v>28</v>
      </c>
      <c r="AE45" s="3">
        <f t="shared" si="31"/>
        <v>29</v>
      </c>
      <c r="AF45" s="3">
        <f t="shared" si="31"/>
        <v>30</v>
      </c>
      <c r="AG45" s="643">
        <f t="shared" si="31"/>
        <v>31</v>
      </c>
      <c r="AH45" s="648">
        <f>COUNTIF(C47:AG47,AI45)</f>
        <v>0</v>
      </c>
      <c r="AI45" s="10" t="s">
        <v>6</v>
      </c>
      <c r="AJ45" s="13">
        <v>31</v>
      </c>
      <c r="AL45" s="23"/>
      <c r="AM45" s="31"/>
      <c r="AN45" s="31"/>
      <c r="AO45" s="635">
        <f>Absences26810126[[#This Row],[debut]]</f>
        <v>0</v>
      </c>
    </row>
    <row r="46" spans="1:83" x14ac:dyDescent="0.25">
      <c r="A46" s="655" t="s">
        <v>800</v>
      </c>
      <c r="B46" s="658">
        <f>COUNTIF(C47:AG47,A46)</f>
        <v>0</v>
      </c>
      <c r="C46" s="5">
        <f t="shared" ref="C46:AC46" si="32">IF(C43="","",WEEKDAY(C43,1))</f>
        <v>7</v>
      </c>
      <c r="D46" s="8">
        <f t="shared" si="32"/>
        <v>1</v>
      </c>
      <c r="E46" s="8">
        <f t="shared" si="32"/>
        <v>2</v>
      </c>
      <c r="F46" s="8">
        <f t="shared" si="32"/>
        <v>3</v>
      </c>
      <c r="G46" s="8">
        <f t="shared" si="32"/>
        <v>4</v>
      </c>
      <c r="H46" s="8">
        <f t="shared" si="32"/>
        <v>5</v>
      </c>
      <c r="I46" s="8">
        <f t="shared" si="32"/>
        <v>6</v>
      </c>
      <c r="J46" s="8">
        <f t="shared" si="32"/>
        <v>7</v>
      </c>
      <c r="K46" s="8">
        <f t="shared" si="32"/>
        <v>1</v>
      </c>
      <c r="L46" s="8">
        <f t="shared" si="32"/>
        <v>2</v>
      </c>
      <c r="M46" s="8">
        <f t="shared" si="32"/>
        <v>3</v>
      </c>
      <c r="N46" s="8">
        <f t="shared" si="32"/>
        <v>4</v>
      </c>
      <c r="O46" s="8">
        <f t="shared" si="32"/>
        <v>5</v>
      </c>
      <c r="P46" s="8">
        <f t="shared" si="32"/>
        <v>6</v>
      </c>
      <c r="Q46" s="8">
        <f t="shared" si="32"/>
        <v>7</v>
      </c>
      <c r="R46" s="8">
        <f t="shared" si="32"/>
        <v>1</v>
      </c>
      <c r="S46" s="8">
        <f t="shared" si="32"/>
        <v>2</v>
      </c>
      <c r="T46" s="8">
        <f t="shared" si="32"/>
        <v>3</v>
      </c>
      <c r="U46" s="8">
        <f t="shared" si="32"/>
        <v>4</v>
      </c>
      <c r="V46" s="8">
        <f t="shared" si="32"/>
        <v>5</v>
      </c>
      <c r="W46" s="8">
        <f t="shared" si="32"/>
        <v>6</v>
      </c>
      <c r="X46" s="8">
        <f t="shared" si="32"/>
        <v>7</v>
      </c>
      <c r="Y46" s="8">
        <f t="shared" si="32"/>
        <v>1</v>
      </c>
      <c r="Z46" s="8">
        <f t="shared" si="32"/>
        <v>2</v>
      </c>
      <c r="AA46" s="8">
        <f t="shared" si="32"/>
        <v>3</v>
      </c>
      <c r="AB46" s="8">
        <f t="shared" si="32"/>
        <v>4</v>
      </c>
      <c r="AC46" s="8">
        <f t="shared" si="32"/>
        <v>5</v>
      </c>
      <c r="AD46" s="8">
        <f>IF(AD43="","",WEEKDAY(AD43,1))</f>
        <v>6</v>
      </c>
      <c r="AE46" s="8">
        <f>IF(AE43="","",WEEKDAY(AE43,1))</f>
        <v>7</v>
      </c>
      <c r="AF46" s="8">
        <f t="shared" ref="AF46:AG46" si="33">IF(AF43="","",WEEKDAY(AF43,1))</f>
        <v>1</v>
      </c>
      <c r="AG46" s="644">
        <f t="shared" si="33"/>
        <v>2</v>
      </c>
      <c r="AH46" s="648">
        <f>COUNTIF(C47:AG47,AI46)</f>
        <v>0</v>
      </c>
      <c r="AI46" s="633" t="s">
        <v>799</v>
      </c>
      <c r="AJ46" s="13">
        <v>32</v>
      </c>
      <c r="AL46" s="23"/>
      <c r="AM46" s="31"/>
      <c r="AN46" s="31"/>
      <c r="AO46" s="635">
        <f>Absences26810126[[#This Row],[debut]]</f>
        <v>0</v>
      </c>
    </row>
    <row r="47" spans="1:83" ht="16.5" thickBot="1" x14ac:dyDescent="0.3">
      <c r="A47" s="656" t="s">
        <v>7</v>
      </c>
      <c r="B47" s="659">
        <f>COUNTIF(C47:AG47,A47)</f>
        <v>0</v>
      </c>
      <c r="C47" s="24" t="str">
        <f t="array" ref="C47">IFERROR(INDEX($AK$15:$AN$114,MATCH(1,(C43&gt;=$AM$15:$AM$114)*($AN$15:$AN$114&gt;=C43)*($AK$15:$AK$114=$U$2),0),2),"")</f>
        <v>Aap</v>
      </c>
      <c r="D47" s="25" t="str">
        <f t="array" ref="D47">IFERROR(INDEX($AK$15:$AN$114,MATCH(1,(D43&gt;=$AM$15:$AM$114)*($AN$15:$AN$114&gt;=D43)*($AK$15:$AK$114=$U$2),0),2),"")</f>
        <v>Aap</v>
      </c>
      <c r="E47" s="25" t="str">
        <f t="array" ref="E47">IFERROR(INDEX($AK$15:$AN$114,MATCH(1,(E43&gt;=$AM$15:$AM$114)*($AN$15:$AN$114&gt;=E43)*($AK$15:$AK$114=$U$2),0),2),"")</f>
        <v>Aap</v>
      </c>
      <c r="F47" s="25" t="str">
        <f t="array" ref="F47">IFERROR(INDEX($AK$15:$AN$114,MATCH(1,(F43&gt;=$AM$15:$AM$114)*($AN$15:$AN$114&gt;=F43)*($AK$15:$AK$114=$U$2),0),2),"")</f>
        <v>Aap</v>
      </c>
      <c r="G47" s="25" t="str">
        <f t="array" ref="G47">IFERROR(INDEX($AK$15:$AN$114,MATCH(1,(G43&gt;=$AM$15:$AM$114)*($AN$15:$AN$114&gt;=G43)*($AK$15:$AK$114=$U$2),0),2),"")</f>
        <v>Aap</v>
      </c>
      <c r="H47" s="25" t="str">
        <f t="array" ref="H47">IFERROR(INDEX($AK$15:$AN$114,MATCH(1,(H43&gt;=$AM$15:$AM$114)*($AN$15:$AN$114&gt;=H43)*($AK$15:$AK$114=$U$2),0),2),"")</f>
        <v>Aap</v>
      </c>
      <c r="I47" s="25" t="str">
        <f t="array" ref="I47">IFERROR(INDEX($AK$15:$AN$114,MATCH(1,(I43&gt;=$AM$15:$AM$114)*($AN$15:$AN$114&gt;=I43)*($AK$15:$AK$114=$U$2),0),2),"")</f>
        <v>Aap</v>
      </c>
      <c r="J47" s="25" t="str">
        <f t="array" ref="J47">IFERROR(INDEX($AK$15:$AN$114,MATCH(1,(J43&gt;=$AM$15:$AM$114)*($AN$15:$AN$114&gt;=J43)*($AK$15:$AK$114=$U$2),0),2),"")</f>
        <v>Aap</v>
      </c>
      <c r="K47" s="25" t="str">
        <f t="array" ref="K47">IFERROR(INDEX($AK$15:$AN$114,MATCH(1,(K43&gt;=$AM$15:$AM$114)*($AN$15:$AN$114&gt;=K43)*($AK$15:$AK$114=$U$2),0),2),"")</f>
        <v>Aap</v>
      </c>
      <c r="L47" s="25" t="str">
        <f t="array" ref="L47">IFERROR(INDEX($AK$15:$AN$114,MATCH(1,(L43&gt;=$AM$15:$AM$114)*($AN$15:$AN$114&gt;=L43)*($AK$15:$AK$114=$U$2),0),2),"")</f>
        <v>Aap</v>
      </c>
      <c r="M47" s="25" t="str">
        <f t="array" ref="M47">IFERROR(INDEX($AK$15:$AN$114,MATCH(1,(M43&gt;=$AM$15:$AM$114)*($AN$15:$AN$114&gt;=M43)*($AK$15:$AK$114=$U$2),0),2),"")</f>
        <v>Aap</v>
      </c>
      <c r="N47" s="25" t="str">
        <f t="array" ref="N47">IFERROR(INDEX($AK$15:$AN$114,MATCH(1,(N43&gt;=$AM$15:$AM$114)*($AN$15:$AN$114&gt;=N43)*($AK$15:$AK$114=$U$2),0),2),"")</f>
        <v/>
      </c>
      <c r="O47" s="25" t="str">
        <f t="array" ref="O47">IFERROR(INDEX($AK$15:$AN$114,MATCH(1,(O43&gt;=$AM$15:$AM$114)*($AN$15:$AN$114&gt;=O43)*($AK$15:$AK$114=$U$2),0),2),"")</f>
        <v/>
      </c>
      <c r="P47" s="25" t="str">
        <f t="array" ref="P47">IFERROR(INDEX($AK$15:$AN$114,MATCH(1,(P43&gt;=$AM$15:$AM$114)*($AN$15:$AN$114&gt;=P43)*($AK$15:$AK$114=$U$2),0),2),"")</f>
        <v/>
      </c>
      <c r="Q47" s="25" t="str">
        <f t="array" ref="Q47">IFERROR(INDEX($AK$15:$AN$114,MATCH(1,(Q43&gt;=$AM$15:$AM$114)*($AN$15:$AN$114&gt;=Q43)*($AK$15:$AK$114=$U$2),0),2),"")</f>
        <v/>
      </c>
      <c r="R47" s="25" t="str">
        <f t="array" ref="R47">IFERROR(INDEX($AK$15:$AN$114,MATCH(1,(R43&gt;=$AM$15:$AM$114)*($AN$15:$AN$114&gt;=R43)*($AK$15:$AK$114=$U$2),0),2),"")</f>
        <v/>
      </c>
      <c r="S47" s="25" t="str">
        <f t="array" ref="S47">IFERROR(INDEX($AK$15:$AN$114,MATCH(1,(S43&gt;=$AM$15:$AM$114)*($AN$15:$AN$114&gt;=S43)*($AK$15:$AK$114=$U$2),0),2),"")</f>
        <v/>
      </c>
      <c r="T47" s="25" t="str">
        <f t="array" ref="T47">IFERROR(INDEX($AK$15:$AN$114,MATCH(1,(T43&gt;=$AM$15:$AM$114)*($AN$15:$AN$114&gt;=T43)*($AK$15:$AK$114=$U$2),0),2),"")</f>
        <v/>
      </c>
      <c r="U47" s="25" t="str">
        <f t="array" ref="U47">IFERROR(INDEX($AK$15:$AN$114,MATCH(1,(U43&gt;=$AM$15:$AM$114)*($AN$15:$AN$114&gt;=U43)*($AK$15:$AK$114=$U$2),0),2),"")</f>
        <v/>
      </c>
      <c r="V47" s="25" t="str">
        <f t="array" ref="V47">IFERROR(INDEX($AK$15:$AN$114,MATCH(1,(V43&gt;=$AM$15:$AM$114)*($AN$15:$AN$114&gt;=V43)*($AK$15:$AK$114=$U$2),0),2),"")</f>
        <v/>
      </c>
      <c r="W47" s="25" t="str">
        <f t="array" ref="W47">IFERROR(INDEX($AK$15:$AN$114,MATCH(1,(W43&gt;=$AM$15:$AM$114)*($AN$15:$AN$114&gt;=W43)*($AK$15:$AK$114=$U$2),0),2),"")</f>
        <v/>
      </c>
      <c r="X47" s="25" t="str">
        <f t="array" ref="X47">IFERROR(INDEX($AK$15:$AN$114,MATCH(1,(X43&gt;=$AM$15:$AM$114)*($AN$15:$AN$114&gt;=X43)*($AK$15:$AK$114=$U$2),0),2),"")</f>
        <v/>
      </c>
      <c r="Y47" s="25" t="str">
        <f t="array" ref="Y47">IFERROR(INDEX($AK$15:$AN$114,MATCH(1,(Y43&gt;=$AM$15:$AM$114)*($AN$15:$AN$114&gt;=Y43)*($AK$15:$AK$114=$U$2),0),2),"")</f>
        <v/>
      </c>
      <c r="Z47" s="25" t="str">
        <f t="array" ref="Z47">IFERROR(INDEX($AK$15:$AN$114,MATCH(1,(Z43&gt;=$AM$15:$AM$114)*($AN$15:$AN$114&gt;=Z43)*($AK$15:$AK$114=$U$2),0),2),"")</f>
        <v/>
      </c>
      <c r="AA47" s="25" t="str">
        <f t="array" ref="AA47">IFERROR(INDEX($AK$15:$AN$114,MATCH(1,(AA43&gt;=$AM$15:$AM$114)*($AN$15:$AN$114&gt;=AA43)*($AK$15:$AK$114=$U$2),0),2),"")</f>
        <v/>
      </c>
      <c r="AB47" s="25" t="str">
        <f t="array" ref="AB47">IFERROR(INDEX($AK$15:$AN$114,MATCH(1,(AB43&gt;=$AM$15:$AM$114)*($AN$15:$AN$114&gt;=AB43)*($AK$15:$AK$114=$U$2),0),2),"")</f>
        <v/>
      </c>
      <c r="AC47" s="25" t="str">
        <f t="array" ref="AC47">IFERROR(INDEX($AK$15:$AN$114,MATCH(1,(AC43&gt;=$AM$15:$AM$114)*($AN$15:$AN$114&gt;=AC43)*($AK$15:$AK$114=$U$2),0),2),"")</f>
        <v/>
      </c>
      <c r="AD47" s="25" t="str">
        <f t="array" ref="AD47">IFERROR(INDEX($AK$15:$AN$114,MATCH(1,(AD43&gt;=$AM$15:$AM$114)*($AN$15:$AN$114&gt;=AD43)*($AK$15:$AK$114=$U$2),0),2),"")</f>
        <v/>
      </c>
      <c r="AE47" s="25" t="str">
        <f t="array" ref="AE47">IFERROR(INDEX($AK$15:$AN$114,MATCH(1,(AE43&gt;=$AM$15:$AM$114)*($AN$15:$AN$114&gt;=AE43)*($AK$15:$AK$114=$U$2),0),2),"")</f>
        <v/>
      </c>
      <c r="AF47" s="25" t="str">
        <f t="array" ref="AF47">IFERROR(INDEX($AK$15:$AN$114,MATCH(1,(AF43&gt;=$AM$15:$AM$114)*($AN$15:$AN$114&gt;=AF43)*($AK$15:$AK$114=$U$2),0),2),"")</f>
        <v/>
      </c>
      <c r="AG47" s="645" t="str">
        <f t="array" ref="AG47">IFERROR(INDEX($AK$15:$AN$114,MATCH(1,(AG43&gt;=$AM$15:$AM$114)*($AN$15:$AN$114&gt;=AG43)*($AK$15:$AK$114=$U$2),0),2),"")</f>
        <v/>
      </c>
      <c r="AH47" s="649">
        <f>COUNTIF(C47:AG47,AI47)</f>
        <v>0</v>
      </c>
      <c r="AI47" s="641" t="s">
        <v>362</v>
      </c>
      <c r="AJ47" s="13">
        <v>33</v>
      </c>
      <c r="AL47" s="23"/>
      <c r="AM47" s="31"/>
      <c r="AN47" s="31"/>
      <c r="AO47" s="635">
        <f>Absences26810126[[#This Row],[debut]]</f>
        <v>0</v>
      </c>
    </row>
    <row r="48" spans="1:83" ht="14.25" customHeight="1" x14ac:dyDescent="0.25">
      <c r="A48" s="651"/>
      <c r="B48" s="20">
        <f>DATE($C$2,MONTH(1&amp;"/"&amp;C49),1)</f>
        <v>44075</v>
      </c>
      <c r="C48" s="14">
        <f>B48</f>
        <v>44075</v>
      </c>
      <c r="D48" s="14">
        <f>IFERROR(IF(C48+1&gt;$B$49,"",C48+1),"")</f>
        <v>44076</v>
      </c>
      <c r="E48" s="14">
        <f t="shared" ref="E48:AG48" si="34">IFERROR(IF(D48+1&gt;$B$49,"",D48+1),"")</f>
        <v>44077</v>
      </c>
      <c r="F48" s="14">
        <f t="shared" si="34"/>
        <v>44078</v>
      </c>
      <c r="G48" s="14">
        <f t="shared" si="34"/>
        <v>44079</v>
      </c>
      <c r="H48" s="14">
        <f t="shared" si="34"/>
        <v>44080</v>
      </c>
      <c r="I48" s="14">
        <f t="shared" si="34"/>
        <v>44081</v>
      </c>
      <c r="J48" s="14">
        <f t="shared" si="34"/>
        <v>44082</v>
      </c>
      <c r="K48" s="14">
        <f t="shared" si="34"/>
        <v>44083</v>
      </c>
      <c r="L48" s="14">
        <f t="shared" si="34"/>
        <v>44084</v>
      </c>
      <c r="M48" s="14">
        <f t="shared" si="34"/>
        <v>44085</v>
      </c>
      <c r="N48" s="14">
        <f t="shared" si="34"/>
        <v>44086</v>
      </c>
      <c r="O48" s="14">
        <f t="shared" si="34"/>
        <v>44087</v>
      </c>
      <c r="P48" s="14">
        <f t="shared" si="34"/>
        <v>44088</v>
      </c>
      <c r="Q48" s="14">
        <f t="shared" si="34"/>
        <v>44089</v>
      </c>
      <c r="R48" s="14">
        <f t="shared" si="34"/>
        <v>44090</v>
      </c>
      <c r="S48" s="14">
        <f t="shared" si="34"/>
        <v>44091</v>
      </c>
      <c r="T48" s="14">
        <f t="shared" si="34"/>
        <v>44092</v>
      </c>
      <c r="U48" s="14">
        <f t="shared" si="34"/>
        <v>44093</v>
      </c>
      <c r="V48" s="14">
        <f t="shared" si="34"/>
        <v>44094</v>
      </c>
      <c r="W48" s="14">
        <f t="shared" si="34"/>
        <v>44095</v>
      </c>
      <c r="X48" s="14">
        <f t="shared" si="34"/>
        <v>44096</v>
      </c>
      <c r="Y48" s="14">
        <f t="shared" si="34"/>
        <v>44097</v>
      </c>
      <c r="Z48" s="14">
        <f t="shared" si="34"/>
        <v>44098</v>
      </c>
      <c r="AA48" s="14">
        <f t="shared" si="34"/>
        <v>44099</v>
      </c>
      <c r="AB48" s="14">
        <f t="shared" si="34"/>
        <v>44100</v>
      </c>
      <c r="AC48" s="14">
        <f t="shared" si="34"/>
        <v>44101</v>
      </c>
      <c r="AD48" s="14">
        <f t="shared" si="34"/>
        <v>44102</v>
      </c>
      <c r="AE48" s="14">
        <f t="shared" si="34"/>
        <v>44103</v>
      </c>
      <c r="AF48" s="14">
        <f t="shared" si="34"/>
        <v>44104</v>
      </c>
      <c r="AG48" s="642" t="str">
        <f t="shared" si="34"/>
        <v/>
      </c>
      <c r="AH48" s="647">
        <f>COUNTIF(C52:AG52,AI48)</f>
        <v>0</v>
      </c>
      <c r="AI48" s="640" t="s">
        <v>8</v>
      </c>
      <c r="AJ48" s="13">
        <v>34</v>
      </c>
      <c r="AL48" s="23"/>
      <c r="AM48" s="31"/>
      <c r="AN48" s="31"/>
      <c r="AO48" s="635">
        <f>Absences26810126[[#This Row],[debut]]</f>
        <v>0</v>
      </c>
    </row>
    <row r="49" spans="1:41" ht="18.75" x14ac:dyDescent="0.25">
      <c r="A49" s="652"/>
      <c r="B49" s="21">
        <f>EOMONTH(B48,0)</f>
        <v>44104</v>
      </c>
      <c r="C49" s="1476" t="s">
        <v>41</v>
      </c>
      <c r="D49" s="1477"/>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7"/>
      <c r="AH49" s="648">
        <f>COUNTIF(C52:AG52,AI49)</f>
        <v>0</v>
      </c>
      <c r="AI49" s="629" t="s">
        <v>360</v>
      </c>
      <c r="AJ49" s="13">
        <v>35</v>
      </c>
      <c r="AL49" s="23"/>
      <c r="AM49" s="31"/>
      <c r="AN49" s="31"/>
      <c r="AO49" s="635">
        <f>Absences26810126[[#This Row],[debut]]</f>
        <v>0</v>
      </c>
    </row>
    <row r="50" spans="1:41" x14ac:dyDescent="0.25">
      <c r="A50" s="654" t="s">
        <v>662</v>
      </c>
      <c r="B50" s="657">
        <f>COUNTIF(C52:AG52,A50)</f>
        <v>0</v>
      </c>
      <c r="C50" s="6">
        <f t="shared" ref="C50:AG50" si="35">IFERROR(DAY(C48),"")</f>
        <v>1</v>
      </c>
      <c r="D50" s="3">
        <f t="shared" si="35"/>
        <v>2</v>
      </c>
      <c r="E50" s="3">
        <f t="shared" si="35"/>
        <v>3</v>
      </c>
      <c r="F50" s="3">
        <f t="shared" si="35"/>
        <v>4</v>
      </c>
      <c r="G50" s="3">
        <f t="shared" si="35"/>
        <v>5</v>
      </c>
      <c r="H50" s="3">
        <f t="shared" si="35"/>
        <v>6</v>
      </c>
      <c r="I50" s="3">
        <f t="shared" si="35"/>
        <v>7</v>
      </c>
      <c r="J50" s="3">
        <f t="shared" si="35"/>
        <v>8</v>
      </c>
      <c r="K50" s="3">
        <f t="shared" si="35"/>
        <v>9</v>
      </c>
      <c r="L50" s="3">
        <f t="shared" si="35"/>
        <v>10</v>
      </c>
      <c r="M50" s="3">
        <f t="shared" si="35"/>
        <v>11</v>
      </c>
      <c r="N50" s="3">
        <f t="shared" si="35"/>
        <v>12</v>
      </c>
      <c r="O50" s="3">
        <f t="shared" si="35"/>
        <v>13</v>
      </c>
      <c r="P50" s="3">
        <f t="shared" si="35"/>
        <v>14</v>
      </c>
      <c r="Q50" s="3">
        <f t="shared" si="35"/>
        <v>15</v>
      </c>
      <c r="R50" s="3">
        <f t="shared" si="35"/>
        <v>16</v>
      </c>
      <c r="S50" s="3">
        <f t="shared" si="35"/>
        <v>17</v>
      </c>
      <c r="T50" s="3">
        <f t="shared" si="35"/>
        <v>18</v>
      </c>
      <c r="U50" s="3">
        <f t="shared" si="35"/>
        <v>19</v>
      </c>
      <c r="V50" s="3">
        <f t="shared" si="35"/>
        <v>20</v>
      </c>
      <c r="W50" s="3">
        <f t="shared" si="35"/>
        <v>21</v>
      </c>
      <c r="X50" s="3">
        <f t="shared" si="35"/>
        <v>22</v>
      </c>
      <c r="Y50" s="3">
        <f t="shared" si="35"/>
        <v>23</v>
      </c>
      <c r="Z50" s="3">
        <f t="shared" si="35"/>
        <v>24</v>
      </c>
      <c r="AA50" s="3">
        <f t="shared" si="35"/>
        <v>25</v>
      </c>
      <c r="AB50" s="3">
        <f t="shared" si="35"/>
        <v>26</v>
      </c>
      <c r="AC50" s="3">
        <f t="shared" si="35"/>
        <v>27</v>
      </c>
      <c r="AD50" s="3">
        <f t="shared" si="35"/>
        <v>28</v>
      </c>
      <c r="AE50" s="3">
        <f t="shared" si="35"/>
        <v>29</v>
      </c>
      <c r="AF50" s="3">
        <f t="shared" si="35"/>
        <v>30</v>
      </c>
      <c r="AG50" s="643" t="str">
        <f t="shared" si="35"/>
        <v/>
      </c>
      <c r="AH50" s="648">
        <f>COUNTIF(C52:AG52,AI50)</f>
        <v>0</v>
      </c>
      <c r="AI50" s="10" t="s">
        <v>6</v>
      </c>
      <c r="AJ50" s="13">
        <v>36</v>
      </c>
      <c r="AL50" s="23"/>
      <c r="AM50" s="31"/>
      <c r="AN50" s="31"/>
      <c r="AO50" s="635">
        <f>Absences26810126[[#This Row],[debut]]</f>
        <v>0</v>
      </c>
    </row>
    <row r="51" spans="1:41" x14ac:dyDescent="0.25">
      <c r="A51" s="655" t="s">
        <v>800</v>
      </c>
      <c r="B51" s="658">
        <f>COUNTIF(C52:AG52,A51)</f>
        <v>0</v>
      </c>
      <c r="C51" s="5">
        <f t="shared" ref="C51:AC51" si="36">IF(C48="","",WEEKDAY(C48,1))</f>
        <v>3</v>
      </c>
      <c r="D51" s="8">
        <f t="shared" si="36"/>
        <v>4</v>
      </c>
      <c r="E51" s="8">
        <f t="shared" si="36"/>
        <v>5</v>
      </c>
      <c r="F51" s="8">
        <f t="shared" si="36"/>
        <v>6</v>
      </c>
      <c r="G51" s="8">
        <f t="shared" si="36"/>
        <v>7</v>
      </c>
      <c r="H51" s="8">
        <f t="shared" si="36"/>
        <v>1</v>
      </c>
      <c r="I51" s="8">
        <f t="shared" si="36"/>
        <v>2</v>
      </c>
      <c r="J51" s="8">
        <f t="shared" si="36"/>
        <v>3</v>
      </c>
      <c r="K51" s="8">
        <f t="shared" si="36"/>
        <v>4</v>
      </c>
      <c r="L51" s="8">
        <f t="shared" si="36"/>
        <v>5</v>
      </c>
      <c r="M51" s="8">
        <f t="shared" si="36"/>
        <v>6</v>
      </c>
      <c r="N51" s="8">
        <f t="shared" si="36"/>
        <v>7</v>
      </c>
      <c r="O51" s="8">
        <f t="shared" si="36"/>
        <v>1</v>
      </c>
      <c r="P51" s="8">
        <f t="shared" si="36"/>
        <v>2</v>
      </c>
      <c r="Q51" s="8">
        <f t="shared" si="36"/>
        <v>3</v>
      </c>
      <c r="R51" s="8">
        <f t="shared" si="36"/>
        <v>4</v>
      </c>
      <c r="S51" s="8">
        <f t="shared" si="36"/>
        <v>5</v>
      </c>
      <c r="T51" s="8">
        <f t="shared" si="36"/>
        <v>6</v>
      </c>
      <c r="U51" s="8">
        <f t="shared" si="36"/>
        <v>7</v>
      </c>
      <c r="V51" s="8">
        <f t="shared" si="36"/>
        <v>1</v>
      </c>
      <c r="W51" s="8">
        <f t="shared" si="36"/>
        <v>2</v>
      </c>
      <c r="X51" s="8">
        <f t="shared" si="36"/>
        <v>3</v>
      </c>
      <c r="Y51" s="8">
        <f t="shared" si="36"/>
        <v>4</v>
      </c>
      <c r="Z51" s="8">
        <f t="shared" si="36"/>
        <v>5</v>
      </c>
      <c r="AA51" s="8">
        <f t="shared" si="36"/>
        <v>6</v>
      </c>
      <c r="AB51" s="8">
        <f t="shared" si="36"/>
        <v>7</v>
      </c>
      <c r="AC51" s="8">
        <f t="shared" si="36"/>
        <v>1</v>
      </c>
      <c r="AD51" s="8">
        <f>IF(AD48="","",WEEKDAY(AD48,1))</f>
        <v>2</v>
      </c>
      <c r="AE51" s="8">
        <f>IF(AE48="","",WEEKDAY(AE48,1))</f>
        <v>3</v>
      </c>
      <c r="AF51" s="8">
        <f t="shared" ref="AF51:AG51" si="37">IF(AF48="","",WEEKDAY(AF48,1))</f>
        <v>4</v>
      </c>
      <c r="AG51" s="644" t="str">
        <f t="shared" si="37"/>
        <v/>
      </c>
      <c r="AH51" s="648">
        <f>COUNTIF(C52:AG52,AI51)</f>
        <v>0</v>
      </c>
      <c r="AI51" s="633" t="s">
        <v>799</v>
      </c>
      <c r="AJ51" s="13">
        <v>37</v>
      </c>
      <c r="AL51" s="23"/>
      <c r="AM51" s="31"/>
      <c r="AN51" s="31"/>
      <c r="AO51" s="635">
        <f>Absences26810126[[#This Row],[debut]]</f>
        <v>0</v>
      </c>
    </row>
    <row r="52" spans="1:41" ht="16.5" thickBot="1" x14ac:dyDescent="0.3">
      <c r="A52" s="656" t="s">
        <v>7</v>
      </c>
      <c r="B52" s="659">
        <f>COUNTIF(C52:AG52,A52)</f>
        <v>0</v>
      </c>
      <c r="C52" s="24" t="str">
        <f t="array" ref="C52">IFERROR(INDEX($AK$15:$AN$114,MATCH(1,(C48&gt;=$AM$15:$AM$114)*($AN$15:$AN$114&gt;=C48)*($AK$15:$AK$114=$U$2),0),2),"")</f>
        <v/>
      </c>
      <c r="D52" s="25" t="str">
        <f t="array" ref="D52">IFERROR(INDEX($AK$15:$AN$114,MATCH(1,(D48&gt;=$AM$15:$AM$114)*($AN$15:$AN$114&gt;=D48)*($AK$15:$AK$114=$U$2),0),2),"")</f>
        <v/>
      </c>
      <c r="E52" s="25" t="str">
        <f t="array" ref="E52">IFERROR(INDEX($AK$15:$AN$114,MATCH(1,(E48&gt;=$AM$15:$AM$114)*($AN$15:$AN$114&gt;=E48)*($AK$15:$AK$114=$U$2),0),2),"")</f>
        <v/>
      </c>
      <c r="F52" s="25" t="str">
        <f t="array" ref="F52">IFERROR(INDEX($AK$15:$AN$114,MATCH(1,(F48&gt;=$AM$15:$AM$114)*($AN$15:$AN$114&gt;=F48)*($AK$15:$AK$114=$U$2),0),2),"")</f>
        <v/>
      </c>
      <c r="G52" s="25" t="str">
        <f t="array" ref="G52">IFERROR(INDEX($AK$15:$AN$114,MATCH(1,(G48&gt;=$AM$15:$AM$114)*($AN$15:$AN$114&gt;=G48)*($AK$15:$AK$114=$U$2),0),2),"")</f>
        <v/>
      </c>
      <c r="H52" s="25" t="str">
        <f t="array" ref="H52">IFERROR(INDEX($AK$15:$AN$114,MATCH(1,(H48&gt;=$AM$15:$AM$114)*($AN$15:$AN$114&gt;=H48)*($AK$15:$AK$114=$U$2),0),2),"")</f>
        <v/>
      </c>
      <c r="I52" s="25" t="str">
        <f t="array" ref="I52">IFERROR(INDEX($AK$15:$AN$114,MATCH(1,(I48&gt;=$AM$15:$AM$114)*($AN$15:$AN$114&gt;=I48)*($AK$15:$AK$114=$U$2),0),2),"")</f>
        <v/>
      </c>
      <c r="J52" s="25" t="str">
        <f t="array" ref="J52">IFERROR(INDEX($AK$15:$AN$114,MATCH(1,(J48&gt;=$AM$15:$AM$114)*($AN$15:$AN$114&gt;=J48)*($AK$15:$AK$114=$U$2),0),2),"")</f>
        <v/>
      </c>
      <c r="K52" s="25" t="str">
        <f t="array" ref="K52">IFERROR(INDEX($AK$15:$AN$114,MATCH(1,(K48&gt;=$AM$15:$AM$114)*($AN$15:$AN$114&gt;=K48)*($AK$15:$AK$114=$U$2),0),2),"")</f>
        <v/>
      </c>
      <c r="L52" s="25" t="str">
        <f t="array" ref="L52">IFERROR(INDEX($AK$15:$AN$114,MATCH(1,(L48&gt;=$AM$15:$AM$114)*($AN$15:$AN$114&gt;=L48)*($AK$15:$AK$114=$U$2),0),2),"")</f>
        <v/>
      </c>
      <c r="M52" s="25" t="str">
        <f t="array" ref="M52">IFERROR(INDEX($AK$15:$AN$114,MATCH(1,(M48&gt;=$AM$15:$AM$114)*($AN$15:$AN$114&gt;=M48)*($AK$15:$AK$114=$U$2),0),2),"")</f>
        <v/>
      </c>
      <c r="N52" s="25" t="str">
        <f t="array" ref="N52">IFERROR(INDEX($AK$15:$AN$114,MATCH(1,(N48&gt;=$AM$15:$AM$114)*($AN$15:$AN$114&gt;=N48)*($AK$15:$AK$114=$U$2),0),2),"")</f>
        <v/>
      </c>
      <c r="O52" s="25" t="str">
        <f t="array" ref="O52">IFERROR(INDEX($AK$15:$AN$114,MATCH(1,(O48&gt;=$AM$15:$AM$114)*($AN$15:$AN$114&gt;=O48)*($AK$15:$AK$114=$U$2),0),2),"")</f>
        <v/>
      </c>
      <c r="P52" s="25" t="str">
        <f t="array" ref="P52">IFERROR(INDEX($AK$15:$AN$114,MATCH(1,(P48&gt;=$AM$15:$AM$114)*($AN$15:$AN$114&gt;=P48)*($AK$15:$AK$114=$U$2),0),2),"")</f>
        <v/>
      </c>
      <c r="Q52" s="25" t="str">
        <f t="array" ref="Q52">IFERROR(INDEX($AK$15:$AN$114,MATCH(1,(Q48&gt;=$AM$15:$AM$114)*($AN$15:$AN$114&gt;=Q48)*($AK$15:$AK$114=$U$2),0),2),"")</f>
        <v/>
      </c>
      <c r="R52" s="25" t="str">
        <f t="array" ref="R52">IFERROR(INDEX($AK$15:$AN$114,MATCH(1,(R48&gt;=$AM$15:$AM$114)*($AN$15:$AN$114&gt;=R48)*($AK$15:$AK$114=$U$2),0),2),"")</f>
        <v/>
      </c>
      <c r="S52" s="25" t="str">
        <f t="array" ref="S52">IFERROR(INDEX($AK$15:$AN$114,MATCH(1,(S48&gt;=$AM$15:$AM$114)*($AN$15:$AN$114&gt;=S48)*($AK$15:$AK$114=$U$2),0),2),"")</f>
        <v/>
      </c>
      <c r="T52" s="25" t="str">
        <f t="array" ref="T52">IFERROR(INDEX($AK$15:$AN$114,MATCH(1,(T48&gt;=$AM$15:$AM$114)*($AN$15:$AN$114&gt;=T48)*($AK$15:$AK$114=$U$2),0),2),"")</f>
        <v/>
      </c>
      <c r="U52" s="25" t="str">
        <f t="array" ref="U52">IFERROR(INDEX($AK$15:$AN$114,MATCH(1,(U48&gt;=$AM$15:$AM$114)*($AN$15:$AN$114&gt;=U48)*($AK$15:$AK$114=$U$2),0),2),"")</f>
        <v/>
      </c>
      <c r="V52" s="25" t="str">
        <f t="array" ref="V52">IFERROR(INDEX($AK$15:$AN$114,MATCH(1,(V48&gt;=$AM$15:$AM$114)*($AN$15:$AN$114&gt;=V48)*($AK$15:$AK$114=$U$2),0),2),"")</f>
        <v/>
      </c>
      <c r="W52" s="25" t="str">
        <f t="array" ref="W52">IFERROR(INDEX($AK$15:$AN$114,MATCH(1,(W48&gt;=$AM$15:$AM$114)*($AN$15:$AN$114&gt;=W48)*($AK$15:$AK$114=$U$2),0),2),"")</f>
        <v/>
      </c>
      <c r="X52" s="25" t="str">
        <f t="array" ref="X52">IFERROR(INDEX($AK$15:$AN$114,MATCH(1,(X48&gt;=$AM$15:$AM$114)*($AN$15:$AN$114&gt;=X48)*($AK$15:$AK$114=$U$2),0),2),"")</f>
        <v/>
      </c>
      <c r="Y52" s="25" t="str">
        <f t="array" ref="Y52">IFERROR(INDEX($AK$15:$AN$114,MATCH(1,(Y48&gt;=$AM$15:$AM$114)*($AN$15:$AN$114&gt;=Y48)*($AK$15:$AK$114=$U$2),0),2),"")</f>
        <v/>
      </c>
      <c r="Z52" s="25" t="str">
        <f t="array" ref="Z52">IFERROR(INDEX($AK$15:$AN$114,MATCH(1,(Z48&gt;=$AM$15:$AM$114)*($AN$15:$AN$114&gt;=Z48)*($AK$15:$AK$114=$U$2),0),2),"")</f>
        <v/>
      </c>
      <c r="AA52" s="25" t="str">
        <f t="array" ref="AA52">IFERROR(INDEX($AK$15:$AN$114,MATCH(1,(AA48&gt;=$AM$15:$AM$114)*($AN$15:$AN$114&gt;=AA48)*($AK$15:$AK$114=$U$2),0),2),"")</f>
        <v/>
      </c>
      <c r="AB52" s="25" t="str">
        <f t="array" ref="AB52">IFERROR(INDEX($AK$15:$AN$114,MATCH(1,(AB48&gt;=$AM$15:$AM$114)*($AN$15:$AN$114&gt;=AB48)*($AK$15:$AK$114=$U$2),0),2),"")</f>
        <v/>
      </c>
      <c r="AC52" s="25" t="str">
        <f t="array" ref="AC52">IFERROR(INDEX($AK$15:$AN$114,MATCH(1,(AC48&gt;=$AM$15:$AM$114)*($AN$15:$AN$114&gt;=AC48)*($AK$15:$AK$114=$U$2),0),2),"")</f>
        <v/>
      </c>
      <c r="AD52" s="25" t="str">
        <f t="array" ref="AD52">IFERROR(INDEX($AK$15:$AN$114,MATCH(1,(AD48&gt;=$AM$15:$AM$114)*($AN$15:$AN$114&gt;=AD48)*($AK$15:$AK$114=$U$2),0),2),"")</f>
        <v/>
      </c>
      <c r="AE52" s="25" t="str">
        <f t="array" ref="AE52">IFERROR(INDEX($AK$15:$AN$114,MATCH(1,(AE48&gt;=$AM$15:$AM$114)*($AN$15:$AN$114&gt;=AE48)*($AK$15:$AK$114=$U$2),0),2),"")</f>
        <v/>
      </c>
      <c r="AF52" s="25" t="str">
        <f t="array" ref="AF52">IFERROR(INDEX($AK$15:$AN$114,MATCH(1,(AF48&gt;=$AM$15:$AM$114)*($AN$15:$AN$114&gt;=AF48)*($AK$15:$AK$114=$U$2),0),2),"")</f>
        <v/>
      </c>
      <c r="AG52" s="645" t="str">
        <f t="array" ref="AG52">IFERROR(INDEX($AK$15:$AN$114,MATCH(1,(AG48&gt;=$AM$15:$AM$114)*($AN$15:$AN$114&gt;=AG48)*($AK$15:$AK$114=$U$2),0),2),"")</f>
        <v/>
      </c>
      <c r="AH52" s="649">
        <f>COUNTIF(C52:AG52,AI52)</f>
        <v>0</v>
      </c>
      <c r="AI52" s="641" t="s">
        <v>362</v>
      </c>
      <c r="AJ52" s="13">
        <v>38</v>
      </c>
      <c r="AL52" s="23"/>
      <c r="AM52" s="31"/>
      <c r="AN52" s="31"/>
      <c r="AO52" s="635">
        <f>Absences26810126[[#This Row],[debut]]</f>
        <v>0</v>
      </c>
    </row>
    <row r="53" spans="1:41" ht="14.25" customHeight="1" x14ac:dyDescent="0.25">
      <c r="A53" s="651"/>
      <c r="B53" s="20">
        <f>DATE($C$2,MONTH(1&amp;"/"&amp;C54),1)</f>
        <v>44105</v>
      </c>
      <c r="C53" s="14">
        <f>B53</f>
        <v>44105</v>
      </c>
      <c r="D53" s="14">
        <f>IFERROR(IF(C53+1&gt;$B$54,"",C53+1),"")</f>
        <v>44106</v>
      </c>
      <c r="E53" s="14">
        <f t="shared" ref="E53:AG53" si="38">IFERROR(IF(D53+1&gt;$B$54,"",D53+1),"")</f>
        <v>44107</v>
      </c>
      <c r="F53" s="14">
        <f t="shared" si="38"/>
        <v>44108</v>
      </c>
      <c r="G53" s="14">
        <f t="shared" si="38"/>
        <v>44109</v>
      </c>
      <c r="H53" s="14">
        <f t="shared" si="38"/>
        <v>44110</v>
      </c>
      <c r="I53" s="14">
        <f t="shared" si="38"/>
        <v>44111</v>
      </c>
      <c r="J53" s="14">
        <f t="shared" si="38"/>
        <v>44112</v>
      </c>
      <c r="K53" s="14">
        <f t="shared" si="38"/>
        <v>44113</v>
      </c>
      <c r="L53" s="14">
        <f t="shared" si="38"/>
        <v>44114</v>
      </c>
      <c r="M53" s="14">
        <f t="shared" si="38"/>
        <v>44115</v>
      </c>
      <c r="N53" s="14">
        <f t="shared" si="38"/>
        <v>44116</v>
      </c>
      <c r="O53" s="14">
        <f t="shared" si="38"/>
        <v>44117</v>
      </c>
      <c r="P53" s="14">
        <f t="shared" si="38"/>
        <v>44118</v>
      </c>
      <c r="Q53" s="14">
        <f t="shared" si="38"/>
        <v>44119</v>
      </c>
      <c r="R53" s="14">
        <f t="shared" si="38"/>
        <v>44120</v>
      </c>
      <c r="S53" s="14">
        <f t="shared" si="38"/>
        <v>44121</v>
      </c>
      <c r="T53" s="14">
        <f t="shared" si="38"/>
        <v>44122</v>
      </c>
      <c r="U53" s="14">
        <f t="shared" si="38"/>
        <v>44123</v>
      </c>
      <c r="V53" s="14">
        <f t="shared" si="38"/>
        <v>44124</v>
      </c>
      <c r="W53" s="14">
        <f t="shared" si="38"/>
        <v>44125</v>
      </c>
      <c r="X53" s="14">
        <f t="shared" si="38"/>
        <v>44126</v>
      </c>
      <c r="Y53" s="14">
        <f t="shared" si="38"/>
        <v>44127</v>
      </c>
      <c r="Z53" s="14">
        <f t="shared" si="38"/>
        <v>44128</v>
      </c>
      <c r="AA53" s="14">
        <f t="shared" si="38"/>
        <v>44129</v>
      </c>
      <c r="AB53" s="14">
        <f t="shared" si="38"/>
        <v>44130</v>
      </c>
      <c r="AC53" s="14">
        <f t="shared" si="38"/>
        <v>44131</v>
      </c>
      <c r="AD53" s="14">
        <f t="shared" si="38"/>
        <v>44132</v>
      </c>
      <c r="AE53" s="14">
        <f t="shared" si="38"/>
        <v>44133</v>
      </c>
      <c r="AF53" s="14">
        <f t="shared" si="38"/>
        <v>44134</v>
      </c>
      <c r="AG53" s="642">
        <f t="shared" si="38"/>
        <v>44135</v>
      </c>
      <c r="AH53" s="647">
        <f>COUNTIF(C57:AG57,AI53)</f>
        <v>0</v>
      </c>
      <c r="AI53" s="640" t="s">
        <v>8</v>
      </c>
      <c r="AJ53" s="13">
        <v>39</v>
      </c>
      <c r="AL53" s="23"/>
      <c r="AM53" s="31"/>
      <c r="AN53" s="31"/>
      <c r="AO53" s="635">
        <f>Absences26810126[[#This Row],[debut]]</f>
        <v>0</v>
      </c>
    </row>
    <row r="54" spans="1:41" ht="18.75" x14ac:dyDescent="0.25">
      <c r="A54" s="652"/>
      <c r="B54" s="21">
        <f>EOMONTH(B53,0)</f>
        <v>44135</v>
      </c>
      <c r="C54" s="1476" t="s">
        <v>44</v>
      </c>
      <c r="D54" s="1477"/>
      <c r="E54" s="1477"/>
      <c r="F54" s="1477"/>
      <c r="G54" s="1477"/>
      <c r="H54" s="1477"/>
      <c r="I54" s="1477"/>
      <c r="J54" s="1477"/>
      <c r="K54" s="1477"/>
      <c r="L54" s="1477"/>
      <c r="M54" s="1477"/>
      <c r="N54" s="1477"/>
      <c r="O54" s="1477"/>
      <c r="P54" s="1477"/>
      <c r="Q54" s="1477"/>
      <c r="R54" s="1477"/>
      <c r="S54" s="1477"/>
      <c r="T54" s="1477"/>
      <c r="U54" s="1477"/>
      <c r="V54" s="1477"/>
      <c r="W54" s="1477"/>
      <c r="X54" s="1477"/>
      <c r="Y54" s="1477"/>
      <c r="Z54" s="1477"/>
      <c r="AA54" s="1477"/>
      <c r="AB54" s="1477"/>
      <c r="AC54" s="1477"/>
      <c r="AD54" s="1477"/>
      <c r="AE54" s="1477"/>
      <c r="AF54" s="1477"/>
      <c r="AG54" s="1477"/>
      <c r="AH54" s="648">
        <f>COUNTIF(C57:AG57,AI54)</f>
        <v>0</v>
      </c>
      <c r="AI54" s="629" t="s">
        <v>360</v>
      </c>
      <c r="AJ54" s="13">
        <v>40</v>
      </c>
      <c r="AL54" s="23"/>
      <c r="AM54" s="31"/>
      <c r="AN54" s="31"/>
      <c r="AO54" s="635">
        <f>Absences26810126[[#This Row],[debut]]</f>
        <v>0</v>
      </c>
    </row>
    <row r="55" spans="1:41" x14ac:dyDescent="0.25">
      <c r="A55" s="654" t="s">
        <v>662</v>
      </c>
      <c r="B55" s="657">
        <f>COUNTIF(C57:AG57,A55)</f>
        <v>0</v>
      </c>
      <c r="C55" s="6">
        <f t="shared" ref="C55:AG55" si="39">IFERROR(DAY(C53),"")</f>
        <v>1</v>
      </c>
      <c r="D55" s="3">
        <f t="shared" si="39"/>
        <v>2</v>
      </c>
      <c r="E55" s="3">
        <f t="shared" si="39"/>
        <v>3</v>
      </c>
      <c r="F55" s="3">
        <f t="shared" si="39"/>
        <v>4</v>
      </c>
      <c r="G55" s="3">
        <f t="shared" si="39"/>
        <v>5</v>
      </c>
      <c r="H55" s="3">
        <f t="shared" si="39"/>
        <v>6</v>
      </c>
      <c r="I55" s="3">
        <f t="shared" si="39"/>
        <v>7</v>
      </c>
      <c r="J55" s="3">
        <f t="shared" si="39"/>
        <v>8</v>
      </c>
      <c r="K55" s="3">
        <f t="shared" si="39"/>
        <v>9</v>
      </c>
      <c r="L55" s="3">
        <f t="shared" si="39"/>
        <v>10</v>
      </c>
      <c r="M55" s="3">
        <f t="shared" si="39"/>
        <v>11</v>
      </c>
      <c r="N55" s="3">
        <f t="shared" si="39"/>
        <v>12</v>
      </c>
      <c r="O55" s="3">
        <f t="shared" si="39"/>
        <v>13</v>
      </c>
      <c r="P55" s="3">
        <f t="shared" si="39"/>
        <v>14</v>
      </c>
      <c r="Q55" s="3">
        <f t="shared" si="39"/>
        <v>15</v>
      </c>
      <c r="R55" s="3">
        <f t="shared" si="39"/>
        <v>16</v>
      </c>
      <c r="S55" s="3">
        <f t="shared" si="39"/>
        <v>17</v>
      </c>
      <c r="T55" s="3">
        <f t="shared" si="39"/>
        <v>18</v>
      </c>
      <c r="U55" s="3">
        <f t="shared" si="39"/>
        <v>19</v>
      </c>
      <c r="V55" s="3">
        <f t="shared" si="39"/>
        <v>20</v>
      </c>
      <c r="W55" s="3">
        <f t="shared" si="39"/>
        <v>21</v>
      </c>
      <c r="X55" s="3">
        <f t="shared" si="39"/>
        <v>22</v>
      </c>
      <c r="Y55" s="3">
        <f t="shared" si="39"/>
        <v>23</v>
      </c>
      <c r="Z55" s="3">
        <f t="shared" si="39"/>
        <v>24</v>
      </c>
      <c r="AA55" s="3">
        <f t="shared" si="39"/>
        <v>25</v>
      </c>
      <c r="AB55" s="3">
        <f t="shared" si="39"/>
        <v>26</v>
      </c>
      <c r="AC55" s="3">
        <f t="shared" si="39"/>
        <v>27</v>
      </c>
      <c r="AD55" s="3">
        <f t="shared" si="39"/>
        <v>28</v>
      </c>
      <c r="AE55" s="3">
        <f t="shared" si="39"/>
        <v>29</v>
      </c>
      <c r="AF55" s="3">
        <f t="shared" si="39"/>
        <v>30</v>
      </c>
      <c r="AG55" s="643">
        <f t="shared" si="39"/>
        <v>31</v>
      </c>
      <c r="AH55" s="648">
        <f>COUNTIF(C57:AG57,AI55)</f>
        <v>0</v>
      </c>
      <c r="AI55" s="10" t="s">
        <v>6</v>
      </c>
      <c r="AJ55" s="13">
        <v>41</v>
      </c>
      <c r="AL55" s="23"/>
      <c r="AM55" s="31"/>
      <c r="AN55" s="31"/>
      <c r="AO55" s="635">
        <f>Absences26810126[[#This Row],[debut]]</f>
        <v>0</v>
      </c>
    </row>
    <row r="56" spans="1:41" x14ac:dyDescent="0.25">
      <c r="A56" s="655" t="s">
        <v>800</v>
      </c>
      <c r="B56" s="658">
        <f>COUNTIF(C57:AG57,A56)</f>
        <v>0</v>
      </c>
      <c r="C56" s="5">
        <f t="shared" ref="C56:AC56" si="40">IF(C53="","",WEEKDAY(C53,1))</f>
        <v>5</v>
      </c>
      <c r="D56" s="8">
        <f t="shared" si="40"/>
        <v>6</v>
      </c>
      <c r="E56" s="8">
        <f t="shared" si="40"/>
        <v>7</v>
      </c>
      <c r="F56" s="8">
        <f t="shared" si="40"/>
        <v>1</v>
      </c>
      <c r="G56" s="8">
        <f t="shared" si="40"/>
        <v>2</v>
      </c>
      <c r="H56" s="8">
        <f t="shared" si="40"/>
        <v>3</v>
      </c>
      <c r="I56" s="8">
        <f t="shared" si="40"/>
        <v>4</v>
      </c>
      <c r="J56" s="8">
        <f t="shared" si="40"/>
        <v>5</v>
      </c>
      <c r="K56" s="8">
        <f t="shared" si="40"/>
        <v>6</v>
      </c>
      <c r="L56" s="8">
        <f t="shared" si="40"/>
        <v>7</v>
      </c>
      <c r="M56" s="8">
        <f t="shared" si="40"/>
        <v>1</v>
      </c>
      <c r="N56" s="8">
        <f t="shared" si="40"/>
        <v>2</v>
      </c>
      <c r="O56" s="8">
        <f t="shared" si="40"/>
        <v>3</v>
      </c>
      <c r="P56" s="8">
        <f t="shared" si="40"/>
        <v>4</v>
      </c>
      <c r="Q56" s="8">
        <f t="shared" si="40"/>
        <v>5</v>
      </c>
      <c r="R56" s="8">
        <f t="shared" si="40"/>
        <v>6</v>
      </c>
      <c r="S56" s="8">
        <f t="shared" si="40"/>
        <v>7</v>
      </c>
      <c r="T56" s="8">
        <f t="shared" si="40"/>
        <v>1</v>
      </c>
      <c r="U56" s="8">
        <f t="shared" si="40"/>
        <v>2</v>
      </c>
      <c r="V56" s="8">
        <f t="shared" si="40"/>
        <v>3</v>
      </c>
      <c r="W56" s="8">
        <f t="shared" si="40"/>
        <v>4</v>
      </c>
      <c r="X56" s="8">
        <f t="shared" si="40"/>
        <v>5</v>
      </c>
      <c r="Y56" s="8">
        <f t="shared" si="40"/>
        <v>6</v>
      </c>
      <c r="Z56" s="8">
        <f t="shared" si="40"/>
        <v>7</v>
      </c>
      <c r="AA56" s="8">
        <f t="shared" si="40"/>
        <v>1</v>
      </c>
      <c r="AB56" s="8">
        <f t="shared" si="40"/>
        <v>2</v>
      </c>
      <c r="AC56" s="8">
        <f t="shared" si="40"/>
        <v>3</v>
      </c>
      <c r="AD56" s="8">
        <f>IF(AD53="","",WEEKDAY(AD53,1))</f>
        <v>4</v>
      </c>
      <c r="AE56" s="8">
        <f>IF(AE53="","",WEEKDAY(AE53,1))</f>
        <v>5</v>
      </c>
      <c r="AF56" s="8">
        <f t="shared" ref="AF56:AG56" si="41">IF(AF53="","",WEEKDAY(AF53,1))</f>
        <v>6</v>
      </c>
      <c r="AG56" s="644">
        <f t="shared" si="41"/>
        <v>7</v>
      </c>
      <c r="AH56" s="648">
        <f>COUNTIF(C57:AG57,AI56)</f>
        <v>0</v>
      </c>
      <c r="AI56" s="633" t="s">
        <v>799</v>
      </c>
      <c r="AJ56" s="13">
        <v>42</v>
      </c>
      <c r="AL56" s="23"/>
      <c r="AM56" s="31"/>
      <c r="AN56" s="31"/>
      <c r="AO56" s="635">
        <f>Absences26810126[[#This Row],[debut]]</f>
        <v>0</v>
      </c>
    </row>
    <row r="57" spans="1:41" ht="16.5" thickBot="1" x14ac:dyDescent="0.3">
      <c r="A57" s="656" t="s">
        <v>7</v>
      </c>
      <c r="B57" s="659">
        <f>COUNTIF(C57:AG57,A57)</f>
        <v>0</v>
      </c>
      <c r="C57" s="24" t="str">
        <f t="array" ref="C57">IFERROR(INDEX($AK$15:$AN$114,MATCH(1,(C53&gt;=$AM$15:$AM$114)*($AN$15:$AN$114&gt;=C53)*($AK$15:$AK$114=$U$2),0),2),"")</f>
        <v/>
      </c>
      <c r="D57" s="25" t="str">
        <f t="array" ref="D57">IFERROR(INDEX($AK$15:$AN$114,MATCH(1,(D53&gt;=$AM$15:$AM$114)*($AN$15:$AN$114&gt;=D53)*($AK$15:$AK$114=$U$2),0),2),"")</f>
        <v/>
      </c>
      <c r="E57" s="25" t="str">
        <f t="array" ref="E57">IFERROR(INDEX($AK$15:$AN$114,MATCH(1,(E53&gt;=$AM$15:$AM$114)*($AN$15:$AN$114&gt;=E53)*($AK$15:$AK$114=$U$2),0),2),"")</f>
        <v/>
      </c>
      <c r="F57" s="25" t="str">
        <f t="array" ref="F57">IFERROR(INDEX($AK$15:$AN$114,MATCH(1,(F53&gt;=$AM$15:$AM$114)*($AN$15:$AN$114&gt;=F53)*($AK$15:$AK$114=$U$2),0),2),"")</f>
        <v/>
      </c>
      <c r="G57" s="25" t="str">
        <f t="array" ref="G57">IFERROR(INDEX($AK$15:$AN$114,MATCH(1,(G53&gt;=$AM$15:$AM$114)*($AN$15:$AN$114&gt;=G53)*($AK$15:$AK$114=$U$2),0),2),"")</f>
        <v/>
      </c>
      <c r="H57" s="25" t="str">
        <f t="array" ref="H57">IFERROR(INDEX($AK$15:$AN$114,MATCH(1,(H53&gt;=$AM$15:$AM$114)*($AN$15:$AN$114&gt;=H53)*($AK$15:$AK$114=$U$2),0),2),"")</f>
        <v/>
      </c>
      <c r="I57" s="25" t="str">
        <f t="array" ref="I57">IFERROR(INDEX($AK$15:$AN$114,MATCH(1,(I53&gt;=$AM$15:$AM$114)*($AN$15:$AN$114&gt;=I53)*($AK$15:$AK$114=$U$2),0),2),"")</f>
        <v/>
      </c>
      <c r="J57" s="25" t="str">
        <f t="array" ref="J57">IFERROR(INDEX($AK$15:$AN$114,MATCH(1,(J53&gt;=$AM$15:$AM$114)*($AN$15:$AN$114&gt;=J53)*($AK$15:$AK$114=$U$2),0),2),"")</f>
        <v/>
      </c>
      <c r="K57" s="25" t="str">
        <f t="array" ref="K57">IFERROR(INDEX($AK$15:$AN$114,MATCH(1,(K53&gt;=$AM$15:$AM$114)*($AN$15:$AN$114&gt;=K53)*($AK$15:$AK$114=$U$2),0),2),"")</f>
        <v/>
      </c>
      <c r="L57" s="25" t="str">
        <f t="array" ref="L57">IFERROR(INDEX($AK$15:$AN$114,MATCH(1,(L53&gt;=$AM$15:$AM$114)*($AN$15:$AN$114&gt;=L53)*($AK$15:$AK$114=$U$2),0),2),"")</f>
        <v/>
      </c>
      <c r="M57" s="25" t="str">
        <f t="array" ref="M57">IFERROR(INDEX($AK$15:$AN$114,MATCH(1,(M53&gt;=$AM$15:$AM$114)*($AN$15:$AN$114&gt;=M53)*($AK$15:$AK$114=$U$2),0),2),"")</f>
        <v/>
      </c>
      <c r="N57" s="25" t="str">
        <f t="array" ref="N57">IFERROR(INDEX($AK$15:$AN$114,MATCH(1,(N53&gt;=$AM$15:$AM$114)*($AN$15:$AN$114&gt;=N53)*($AK$15:$AK$114=$U$2),0),2),"")</f>
        <v/>
      </c>
      <c r="O57" s="25" t="str">
        <f t="array" ref="O57">IFERROR(INDEX($AK$15:$AN$114,MATCH(1,(O53&gt;=$AM$15:$AM$114)*($AN$15:$AN$114&gt;=O53)*($AK$15:$AK$114=$U$2),0),2),"")</f>
        <v/>
      </c>
      <c r="P57" s="25" t="str">
        <f t="array" ref="P57">IFERROR(INDEX($AK$15:$AN$114,MATCH(1,(P53&gt;=$AM$15:$AM$114)*($AN$15:$AN$114&gt;=P53)*($AK$15:$AK$114=$U$2),0),2),"")</f>
        <v/>
      </c>
      <c r="Q57" s="25" t="str">
        <f t="array" ref="Q57">IFERROR(INDEX($AK$15:$AN$114,MATCH(1,(Q53&gt;=$AM$15:$AM$114)*($AN$15:$AN$114&gt;=Q53)*($AK$15:$AK$114=$U$2),0),2),"")</f>
        <v/>
      </c>
      <c r="R57" s="25" t="str">
        <f t="array" ref="R57">IFERROR(INDEX($AK$15:$AN$114,MATCH(1,(R53&gt;=$AM$15:$AM$114)*($AN$15:$AN$114&gt;=R53)*($AK$15:$AK$114=$U$2),0),2),"")</f>
        <v/>
      </c>
      <c r="S57" s="25" t="str">
        <f t="array" ref="S57">IFERROR(INDEX($AK$15:$AN$114,MATCH(1,(S53&gt;=$AM$15:$AM$114)*($AN$15:$AN$114&gt;=S53)*($AK$15:$AK$114=$U$2),0),2),"")</f>
        <v/>
      </c>
      <c r="T57" s="25" t="str">
        <f t="array" ref="T57">IFERROR(INDEX($AK$15:$AN$114,MATCH(1,(T53&gt;=$AM$15:$AM$114)*($AN$15:$AN$114&gt;=T53)*($AK$15:$AK$114=$U$2),0),2),"")</f>
        <v/>
      </c>
      <c r="U57" s="25" t="str">
        <f t="array" ref="U57">IFERROR(INDEX($AK$15:$AN$114,MATCH(1,(U53&gt;=$AM$15:$AM$114)*($AN$15:$AN$114&gt;=U53)*($AK$15:$AK$114=$U$2),0),2),"")</f>
        <v/>
      </c>
      <c r="V57" s="25" t="str">
        <f t="array" ref="V57">IFERROR(INDEX($AK$15:$AN$114,MATCH(1,(V53&gt;=$AM$15:$AM$114)*($AN$15:$AN$114&gt;=V53)*($AK$15:$AK$114=$U$2),0),2),"")</f>
        <v/>
      </c>
      <c r="W57" s="25" t="str">
        <f t="array" ref="W57">IFERROR(INDEX($AK$15:$AN$114,MATCH(1,(W53&gt;=$AM$15:$AM$114)*($AN$15:$AN$114&gt;=W53)*($AK$15:$AK$114=$U$2),0),2),"")</f>
        <v/>
      </c>
      <c r="X57" s="25" t="str">
        <f t="array" ref="X57">IFERROR(INDEX($AK$15:$AN$114,MATCH(1,(X53&gt;=$AM$15:$AM$114)*($AN$15:$AN$114&gt;=X53)*($AK$15:$AK$114=$U$2),0),2),"")</f>
        <v/>
      </c>
      <c r="Y57" s="25" t="str">
        <f t="array" ref="Y57">IFERROR(INDEX($AK$15:$AN$114,MATCH(1,(Y53&gt;=$AM$15:$AM$114)*($AN$15:$AN$114&gt;=Y53)*($AK$15:$AK$114=$U$2),0),2),"")</f>
        <v/>
      </c>
      <c r="Z57" s="25" t="str">
        <f t="array" ref="Z57">IFERROR(INDEX($AK$15:$AN$114,MATCH(1,(Z53&gt;=$AM$15:$AM$114)*($AN$15:$AN$114&gt;=Z53)*($AK$15:$AK$114=$U$2),0),2),"")</f>
        <v/>
      </c>
      <c r="AA57" s="25" t="str">
        <f t="array" ref="AA57">IFERROR(INDEX($AK$15:$AN$114,MATCH(1,(AA53&gt;=$AM$15:$AM$114)*($AN$15:$AN$114&gt;=AA53)*($AK$15:$AK$114=$U$2),0),2),"")</f>
        <v/>
      </c>
      <c r="AB57" s="25" t="str">
        <f t="array" ref="AB57">IFERROR(INDEX($AK$15:$AN$114,MATCH(1,(AB53&gt;=$AM$15:$AM$114)*($AN$15:$AN$114&gt;=AB53)*($AK$15:$AK$114=$U$2),0),2),"")</f>
        <v/>
      </c>
      <c r="AC57" s="25" t="str">
        <f t="array" ref="AC57">IFERROR(INDEX($AK$15:$AN$114,MATCH(1,(AC53&gt;=$AM$15:$AM$114)*($AN$15:$AN$114&gt;=AC53)*($AK$15:$AK$114=$U$2),0),2),"")</f>
        <v/>
      </c>
      <c r="AD57" s="25" t="str">
        <f t="array" ref="AD57">IFERROR(INDEX($AK$15:$AN$114,MATCH(1,(AD53&gt;=$AM$15:$AM$114)*($AN$15:$AN$114&gt;=AD53)*($AK$15:$AK$114=$U$2),0),2),"")</f>
        <v/>
      </c>
      <c r="AE57" s="25" t="str">
        <f t="array" ref="AE57">IFERROR(INDEX($AK$15:$AN$114,MATCH(1,(AE53&gt;=$AM$15:$AM$114)*($AN$15:$AN$114&gt;=AE53)*($AK$15:$AK$114=$U$2),0),2),"")</f>
        <v/>
      </c>
      <c r="AF57" s="25" t="str">
        <f t="array" ref="AF57">IFERROR(INDEX($AK$15:$AN$114,MATCH(1,(AF53&gt;=$AM$15:$AM$114)*($AN$15:$AN$114&gt;=AF53)*($AK$15:$AK$114=$U$2),0),2),"")</f>
        <v/>
      </c>
      <c r="AG57" s="645" t="str">
        <f t="array" ref="AG57">IFERROR(INDEX($AK$15:$AN$114,MATCH(1,(AG53&gt;=$AM$15:$AM$114)*($AN$15:$AN$114&gt;=AG53)*($AK$15:$AK$114=$U$2),0),2),"")</f>
        <v/>
      </c>
      <c r="AH57" s="649">
        <f>COUNTIF(C57:AG57,AI57)</f>
        <v>0</v>
      </c>
      <c r="AI57" s="641" t="s">
        <v>362</v>
      </c>
      <c r="AJ57" s="13">
        <v>43</v>
      </c>
      <c r="AL57" s="23"/>
      <c r="AM57" s="31"/>
      <c r="AN57" s="31"/>
      <c r="AO57" s="635">
        <f>Absences26810126[[#This Row],[debut]]</f>
        <v>0</v>
      </c>
    </row>
    <row r="58" spans="1:41" ht="14.25" customHeight="1" x14ac:dyDescent="0.25">
      <c r="A58" s="651"/>
      <c r="B58" s="20">
        <f>DATE($C$2,MONTH(1&amp;"/"&amp;C59),1)</f>
        <v>44136</v>
      </c>
      <c r="C58" s="14">
        <f>B58</f>
        <v>44136</v>
      </c>
      <c r="D58" s="14">
        <f>IFERROR(IF(C58+1&gt;$B$59,"",C58+1),"")</f>
        <v>44137</v>
      </c>
      <c r="E58" s="14">
        <f t="shared" ref="E58:AG58" si="42">IFERROR(IF(D58+1&gt;$B$59,"",D58+1),"")</f>
        <v>44138</v>
      </c>
      <c r="F58" s="14">
        <f t="shared" si="42"/>
        <v>44139</v>
      </c>
      <c r="G58" s="14">
        <f t="shared" si="42"/>
        <v>44140</v>
      </c>
      <c r="H58" s="14">
        <f t="shared" si="42"/>
        <v>44141</v>
      </c>
      <c r="I58" s="14">
        <f t="shared" si="42"/>
        <v>44142</v>
      </c>
      <c r="J58" s="14">
        <f t="shared" si="42"/>
        <v>44143</v>
      </c>
      <c r="K58" s="14">
        <f t="shared" si="42"/>
        <v>44144</v>
      </c>
      <c r="L58" s="14">
        <f t="shared" si="42"/>
        <v>44145</v>
      </c>
      <c r="M58" s="14">
        <f t="shared" si="42"/>
        <v>44146</v>
      </c>
      <c r="N58" s="14">
        <f t="shared" si="42"/>
        <v>44147</v>
      </c>
      <c r="O58" s="14">
        <f t="shared" si="42"/>
        <v>44148</v>
      </c>
      <c r="P58" s="14">
        <f t="shared" si="42"/>
        <v>44149</v>
      </c>
      <c r="Q58" s="14">
        <f t="shared" si="42"/>
        <v>44150</v>
      </c>
      <c r="R58" s="14">
        <f t="shared" si="42"/>
        <v>44151</v>
      </c>
      <c r="S58" s="14">
        <f t="shared" si="42"/>
        <v>44152</v>
      </c>
      <c r="T58" s="14">
        <f t="shared" si="42"/>
        <v>44153</v>
      </c>
      <c r="U58" s="14">
        <f t="shared" si="42"/>
        <v>44154</v>
      </c>
      <c r="V58" s="14">
        <f t="shared" si="42"/>
        <v>44155</v>
      </c>
      <c r="W58" s="14">
        <f t="shared" si="42"/>
        <v>44156</v>
      </c>
      <c r="X58" s="14">
        <f t="shared" si="42"/>
        <v>44157</v>
      </c>
      <c r="Y58" s="14">
        <f t="shared" si="42"/>
        <v>44158</v>
      </c>
      <c r="Z58" s="14">
        <f t="shared" si="42"/>
        <v>44159</v>
      </c>
      <c r="AA58" s="14">
        <f t="shared" si="42"/>
        <v>44160</v>
      </c>
      <c r="AB58" s="14">
        <f t="shared" si="42"/>
        <v>44161</v>
      </c>
      <c r="AC58" s="14">
        <f t="shared" si="42"/>
        <v>44162</v>
      </c>
      <c r="AD58" s="14">
        <f t="shared" si="42"/>
        <v>44163</v>
      </c>
      <c r="AE58" s="14">
        <f t="shared" si="42"/>
        <v>44164</v>
      </c>
      <c r="AF58" s="14">
        <f t="shared" si="42"/>
        <v>44165</v>
      </c>
      <c r="AG58" s="642" t="str">
        <f t="shared" si="42"/>
        <v/>
      </c>
      <c r="AH58" s="647">
        <f>COUNTIF(C62:AG62,AI58)</f>
        <v>0</v>
      </c>
      <c r="AI58" s="640" t="s">
        <v>8</v>
      </c>
      <c r="AJ58" s="13">
        <v>44</v>
      </c>
      <c r="AL58" s="23"/>
      <c r="AM58" s="31"/>
      <c r="AN58" s="31"/>
      <c r="AO58" s="635">
        <f>Absences26810126[[#This Row],[debut]]</f>
        <v>0</v>
      </c>
    </row>
    <row r="59" spans="1:41" ht="18.75" x14ac:dyDescent="0.25">
      <c r="A59" s="652"/>
      <c r="B59" s="21">
        <f>EOMONTH(B58,0)</f>
        <v>44165</v>
      </c>
      <c r="C59" s="1476" t="s">
        <v>45</v>
      </c>
      <c r="D59" s="1477"/>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c r="AD59" s="1477"/>
      <c r="AE59" s="1477"/>
      <c r="AF59" s="1477"/>
      <c r="AG59" s="1477"/>
      <c r="AH59" s="648">
        <f>COUNTIF(C62:AG62,AI59)</f>
        <v>0</v>
      </c>
      <c r="AI59" s="629" t="s">
        <v>360</v>
      </c>
      <c r="AJ59" s="13">
        <v>45</v>
      </c>
      <c r="AL59" s="23"/>
      <c r="AM59" s="31"/>
      <c r="AN59" s="31"/>
      <c r="AO59" s="635">
        <f>Absences26810126[[#This Row],[debut]]</f>
        <v>0</v>
      </c>
    </row>
    <row r="60" spans="1:41" x14ac:dyDescent="0.25">
      <c r="A60" s="630" t="s">
        <v>662</v>
      </c>
      <c r="B60" s="657">
        <f>COUNTIF(C62:AG62,A60)</f>
        <v>0</v>
      </c>
      <c r="C60" s="6">
        <f t="shared" ref="C60:AG60" si="43">IFERROR(DAY(C58),"")</f>
        <v>1</v>
      </c>
      <c r="D60" s="3">
        <f t="shared" si="43"/>
        <v>2</v>
      </c>
      <c r="E60" s="3">
        <f t="shared" si="43"/>
        <v>3</v>
      </c>
      <c r="F60" s="3">
        <f t="shared" si="43"/>
        <v>4</v>
      </c>
      <c r="G60" s="3">
        <f t="shared" si="43"/>
        <v>5</v>
      </c>
      <c r="H60" s="3">
        <f t="shared" si="43"/>
        <v>6</v>
      </c>
      <c r="I60" s="3">
        <f t="shared" si="43"/>
        <v>7</v>
      </c>
      <c r="J60" s="3">
        <f t="shared" si="43"/>
        <v>8</v>
      </c>
      <c r="K60" s="3">
        <f t="shared" si="43"/>
        <v>9</v>
      </c>
      <c r="L60" s="3">
        <f t="shared" si="43"/>
        <v>10</v>
      </c>
      <c r="M60" s="3">
        <f t="shared" si="43"/>
        <v>11</v>
      </c>
      <c r="N60" s="3">
        <f t="shared" si="43"/>
        <v>12</v>
      </c>
      <c r="O60" s="3">
        <f t="shared" si="43"/>
        <v>13</v>
      </c>
      <c r="P60" s="3">
        <f t="shared" si="43"/>
        <v>14</v>
      </c>
      <c r="Q60" s="3">
        <f t="shared" si="43"/>
        <v>15</v>
      </c>
      <c r="R60" s="3">
        <f t="shared" si="43"/>
        <v>16</v>
      </c>
      <c r="S60" s="3">
        <f t="shared" si="43"/>
        <v>17</v>
      </c>
      <c r="T60" s="3">
        <f t="shared" si="43"/>
        <v>18</v>
      </c>
      <c r="U60" s="3">
        <f t="shared" si="43"/>
        <v>19</v>
      </c>
      <c r="V60" s="3">
        <f t="shared" si="43"/>
        <v>20</v>
      </c>
      <c r="W60" s="3">
        <f t="shared" si="43"/>
        <v>21</v>
      </c>
      <c r="X60" s="3">
        <f t="shared" si="43"/>
        <v>22</v>
      </c>
      <c r="Y60" s="3">
        <f t="shared" si="43"/>
        <v>23</v>
      </c>
      <c r="Z60" s="3">
        <f t="shared" si="43"/>
        <v>24</v>
      </c>
      <c r="AA60" s="3">
        <f t="shared" si="43"/>
        <v>25</v>
      </c>
      <c r="AB60" s="3">
        <f t="shared" si="43"/>
        <v>26</v>
      </c>
      <c r="AC60" s="3">
        <f t="shared" si="43"/>
        <v>27</v>
      </c>
      <c r="AD60" s="3">
        <f t="shared" si="43"/>
        <v>28</v>
      </c>
      <c r="AE60" s="3">
        <f t="shared" si="43"/>
        <v>29</v>
      </c>
      <c r="AF60" s="3">
        <f t="shared" si="43"/>
        <v>30</v>
      </c>
      <c r="AG60" s="643" t="str">
        <f t="shared" si="43"/>
        <v/>
      </c>
      <c r="AH60" s="648">
        <f>COUNTIF(C62:AG62,AI60)</f>
        <v>11</v>
      </c>
      <c r="AI60" s="10" t="s">
        <v>6</v>
      </c>
      <c r="AJ60" s="13">
        <v>46</v>
      </c>
      <c r="AL60" s="23"/>
      <c r="AM60" s="31"/>
      <c r="AN60" s="31"/>
      <c r="AO60" s="635">
        <f>Absences26810126[[#This Row],[debut]]</f>
        <v>0</v>
      </c>
    </row>
    <row r="61" spans="1:41" x14ac:dyDescent="0.25">
      <c r="A61" s="631" t="s">
        <v>800</v>
      </c>
      <c r="B61" s="658">
        <f>COUNTIF(C62:AG62,A61)</f>
        <v>0</v>
      </c>
      <c r="C61" s="5">
        <f t="shared" ref="C61:AC61" si="44">IF(C58="","",WEEKDAY(C58,1))</f>
        <v>1</v>
      </c>
      <c r="D61" s="8">
        <f t="shared" si="44"/>
        <v>2</v>
      </c>
      <c r="E61" s="8">
        <f t="shared" si="44"/>
        <v>3</v>
      </c>
      <c r="F61" s="8">
        <f t="shared" si="44"/>
        <v>4</v>
      </c>
      <c r="G61" s="8">
        <f t="shared" si="44"/>
        <v>5</v>
      </c>
      <c r="H61" s="8">
        <f t="shared" si="44"/>
        <v>6</v>
      </c>
      <c r="I61" s="8">
        <f t="shared" si="44"/>
        <v>7</v>
      </c>
      <c r="J61" s="8">
        <f t="shared" si="44"/>
        <v>1</v>
      </c>
      <c r="K61" s="8">
        <f t="shared" si="44"/>
        <v>2</v>
      </c>
      <c r="L61" s="8">
        <f t="shared" si="44"/>
        <v>3</v>
      </c>
      <c r="M61" s="8">
        <f t="shared" si="44"/>
        <v>4</v>
      </c>
      <c r="N61" s="8">
        <f t="shared" si="44"/>
        <v>5</v>
      </c>
      <c r="O61" s="8">
        <f t="shared" si="44"/>
        <v>6</v>
      </c>
      <c r="P61" s="8">
        <f t="shared" si="44"/>
        <v>7</v>
      </c>
      <c r="Q61" s="8">
        <f t="shared" si="44"/>
        <v>1</v>
      </c>
      <c r="R61" s="8">
        <f t="shared" si="44"/>
        <v>2</v>
      </c>
      <c r="S61" s="8">
        <f t="shared" si="44"/>
        <v>3</v>
      </c>
      <c r="T61" s="8">
        <f t="shared" si="44"/>
        <v>4</v>
      </c>
      <c r="U61" s="8">
        <f t="shared" si="44"/>
        <v>5</v>
      </c>
      <c r="V61" s="8">
        <f t="shared" si="44"/>
        <v>6</v>
      </c>
      <c r="W61" s="8">
        <f t="shared" si="44"/>
        <v>7</v>
      </c>
      <c r="X61" s="8">
        <f t="shared" si="44"/>
        <v>1</v>
      </c>
      <c r="Y61" s="8">
        <f t="shared" si="44"/>
        <v>2</v>
      </c>
      <c r="Z61" s="8">
        <f t="shared" si="44"/>
        <v>3</v>
      </c>
      <c r="AA61" s="8">
        <f t="shared" si="44"/>
        <v>4</v>
      </c>
      <c r="AB61" s="8">
        <f t="shared" si="44"/>
        <v>5</v>
      </c>
      <c r="AC61" s="8">
        <f t="shared" si="44"/>
        <v>6</v>
      </c>
      <c r="AD61" s="8">
        <f>IF(AD58="","",WEEKDAY(AD58,1))</f>
        <v>7</v>
      </c>
      <c r="AE61" s="8">
        <f>IF(AE58="","",WEEKDAY(AE58,1))</f>
        <v>1</v>
      </c>
      <c r="AF61" s="8">
        <f t="shared" ref="AF61:AG61" si="45">IF(AF58="","",WEEKDAY(AF58,1))</f>
        <v>2</v>
      </c>
      <c r="AG61" s="644" t="str">
        <f t="shared" si="45"/>
        <v/>
      </c>
      <c r="AH61" s="648">
        <f>COUNTIF(C62:AG62,AI61)</f>
        <v>0</v>
      </c>
      <c r="AI61" s="633" t="s">
        <v>799</v>
      </c>
      <c r="AJ61" s="13">
        <v>47</v>
      </c>
      <c r="AL61" s="23"/>
      <c r="AM61" s="31"/>
      <c r="AN61" s="31"/>
      <c r="AO61" s="635">
        <f>Absences26810126[[#This Row],[debut]]</f>
        <v>0</v>
      </c>
    </row>
    <row r="62" spans="1:41" ht="16.5" thickBot="1" x14ac:dyDescent="0.3">
      <c r="A62" s="653" t="s">
        <v>7</v>
      </c>
      <c r="B62" s="659">
        <f>COUNTIF(C62:AG62,A62)</f>
        <v>0</v>
      </c>
      <c r="C62" s="24" t="str">
        <f t="array" ref="C62">IFERROR(INDEX($AK$15:$AN$114,MATCH(1,(C58&gt;=$AM$15:$AM$114)*($AN$15:$AN$114&gt;=C58)*($AK$15:$AK$114=$U$2),0),2),"")</f>
        <v/>
      </c>
      <c r="D62" s="25" t="str">
        <f t="array" ref="D62">IFERROR(INDEX($AK$15:$AN$114,MATCH(1,(D58&gt;=$AM$15:$AM$114)*($AN$15:$AN$114&gt;=D58)*($AK$15:$AK$114=$U$2),0),2),"")</f>
        <v/>
      </c>
      <c r="E62" s="25" t="str">
        <f t="array" ref="E62">IFERROR(INDEX($AK$15:$AN$114,MATCH(1,(E58&gt;=$AM$15:$AM$114)*($AN$15:$AN$114&gt;=E58)*($AK$15:$AK$114=$U$2),0),2),"")</f>
        <v/>
      </c>
      <c r="F62" s="25" t="str">
        <f t="array" ref="F62">IFERROR(INDEX($AK$15:$AN$114,MATCH(1,(F58&gt;=$AM$15:$AM$114)*($AN$15:$AN$114&gt;=F58)*($AK$15:$AK$114=$U$2),0),2),"")</f>
        <v/>
      </c>
      <c r="G62" s="25" t="str">
        <f t="array" ref="G62">IFERROR(INDEX($AK$15:$AN$114,MATCH(1,(G58&gt;=$AM$15:$AM$114)*($AN$15:$AN$114&gt;=G58)*($AK$15:$AK$114=$U$2),0),2),"")</f>
        <v/>
      </c>
      <c r="H62" s="25" t="str">
        <f t="array" ref="H62">IFERROR(INDEX($AK$15:$AN$114,MATCH(1,(H58&gt;=$AM$15:$AM$114)*($AN$15:$AN$114&gt;=H58)*($AK$15:$AK$114=$U$2),0),2),"")</f>
        <v/>
      </c>
      <c r="I62" s="25" t="str">
        <f t="array" ref="I62">IFERROR(INDEX($AK$15:$AN$114,MATCH(1,(I58&gt;=$AM$15:$AM$114)*($AN$15:$AN$114&gt;=I58)*($AK$15:$AK$114=$U$2),0),2),"")</f>
        <v>M</v>
      </c>
      <c r="J62" s="25" t="str">
        <f t="array" ref="J62">IFERROR(INDEX($AK$15:$AN$114,MATCH(1,(J58&gt;=$AM$15:$AM$114)*($AN$15:$AN$114&gt;=J58)*($AK$15:$AK$114=$U$2),0),2),"")</f>
        <v>M</v>
      </c>
      <c r="K62" s="25" t="str">
        <f t="array" ref="K62">IFERROR(INDEX($AK$15:$AN$114,MATCH(1,(K58&gt;=$AM$15:$AM$114)*($AN$15:$AN$114&gt;=K58)*($AK$15:$AK$114=$U$2),0),2),"")</f>
        <v>M</v>
      </c>
      <c r="L62" s="25" t="str">
        <f t="array" ref="L62">IFERROR(INDEX($AK$15:$AN$114,MATCH(1,(L58&gt;=$AM$15:$AM$114)*($AN$15:$AN$114&gt;=L58)*($AK$15:$AK$114=$U$2),0),2),"")</f>
        <v>M</v>
      </c>
      <c r="M62" s="25" t="str">
        <f t="array" ref="M62">IFERROR(INDEX($AK$15:$AN$114,MATCH(1,(M58&gt;=$AM$15:$AM$114)*($AN$15:$AN$114&gt;=M58)*($AK$15:$AK$114=$U$2),0),2),"")</f>
        <v>M</v>
      </c>
      <c r="N62" s="25" t="str">
        <f t="array" ref="N62">IFERROR(INDEX($AK$15:$AN$114,MATCH(1,(N58&gt;=$AM$15:$AM$114)*($AN$15:$AN$114&gt;=N58)*($AK$15:$AK$114=$U$2),0),2),"")</f>
        <v>M</v>
      </c>
      <c r="O62" s="25" t="str">
        <f t="array" ref="O62">IFERROR(INDEX($AK$15:$AN$114,MATCH(1,(O58&gt;=$AM$15:$AM$114)*($AN$15:$AN$114&gt;=O58)*($AK$15:$AK$114=$U$2),0),2),"")</f>
        <v>M</v>
      </c>
      <c r="P62" s="25" t="str">
        <f t="array" ref="P62">IFERROR(INDEX($AK$15:$AN$114,MATCH(1,(P58&gt;=$AM$15:$AM$114)*($AN$15:$AN$114&gt;=P58)*($AK$15:$AK$114=$U$2),0),2),"")</f>
        <v>M</v>
      </c>
      <c r="Q62" s="25" t="str">
        <f t="array" ref="Q62">IFERROR(INDEX($AK$15:$AN$114,MATCH(1,(Q58&gt;=$AM$15:$AM$114)*($AN$15:$AN$114&gt;=Q58)*($AK$15:$AK$114=$U$2),0),2),"")</f>
        <v>M</v>
      </c>
      <c r="R62" s="25" t="str">
        <f t="array" ref="R62">IFERROR(INDEX($AK$15:$AN$114,MATCH(1,(R58&gt;=$AM$15:$AM$114)*($AN$15:$AN$114&gt;=R58)*($AK$15:$AK$114=$U$2),0),2),"")</f>
        <v>M</v>
      </c>
      <c r="S62" s="25" t="str">
        <f t="array" ref="S62">IFERROR(INDEX($AK$15:$AN$114,MATCH(1,(S58&gt;=$AM$15:$AM$114)*($AN$15:$AN$114&gt;=S58)*($AK$15:$AK$114=$U$2),0),2),"")</f>
        <v>M</v>
      </c>
      <c r="T62" s="25" t="str">
        <f t="array" ref="T62">IFERROR(INDEX($AK$15:$AN$114,MATCH(1,(T58&gt;=$AM$15:$AM$114)*($AN$15:$AN$114&gt;=T58)*($AK$15:$AK$114=$U$2),0),2),"")</f>
        <v/>
      </c>
      <c r="U62" s="25" t="str">
        <f t="array" ref="U62">IFERROR(INDEX($AK$15:$AN$114,MATCH(1,(U58&gt;=$AM$15:$AM$114)*($AN$15:$AN$114&gt;=U58)*($AK$15:$AK$114=$U$2),0),2),"")</f>
        <v/>
      </c>
      <c r="V62" s="25" t="str">
        <f t="array" ref="V62">IFERROR(INDEX($AK$15:$AN$114,MATCH(1,(V58&gt;=$AM$15:$AM$114)*($AN$15:$AN$114&gt;=V58)*($AK$15:$AK$114=$U$2),0),2),"")</f>
        <v/>
      </c>
      <c r="W62" s="25" t="str">
        <f t="array" ref="W62">IFERROR(INDEX($AK$15:$AN$114,MATCH(1,(W58&gt;=$AM$15:$AM$114)*($AN$15:$AN$114&gt;=W58)*($AK$15:$AK$114=$U$2),0),2),"")</f>
        <v/>
      </c>
      <c r="X62" s="25" t="str">
        <f t="array" ref="X62">IFERROR(INDEX($AK$15:$AN$114,MATCH(1,(X58&gt;=$AM$15:$AM$114)*($AN$15:$AN$114&gt;=X58)*($AK$15:$AK$114=$U$2),0),2),"")</f>
        <v/>
      </c>
      <c r="Y62" s="25" t="str">
        <f t="array" ref="Y62">IFERROR(INDEX($AK$15:$AN$114,MATCH(1,(Y58&gt;=$AM$15:$AM$114)*($AN$15:$AN$114&gt;=Y58)*($AK$15:$AK$114=$U$2),0),2),"")</f>
        <v/>
      </c>
      <c r="Z62" s="25" t="str">
        <f t="array" ref="Z62">IFERROR(INDEX($AK$15:$AN$114,MATCH(1,(Z58&gt;=$AM$15:$AM$114)*($AN$15:$AN$114&gt;=Z58)*($AK$15:$AK$114=$U$2),0),2),"")</f>
        <v/>
      </c>
      <c r="AA62" s="25" t="str">
        <f t="array" ref="AA62">IFERROR(INDEX($AK$15:$AN$114,MATCH(1,(AA58&gt;=$AM$15:$AM$114)*($AN$15:$AN$114&gt;=AA58)*($AK$15:$AK$114=$U$2),0),2),"")</f>
        <v/>
      </c>
      <c r="AB62" s="25" t="str">
        <f t="array" ref="AB62">IFERROR(INDEX($AK$15:$AN$114,MATCH(1,(AB58&gt;=$AM$15:$AM$114)*($AN$15:$AN$114&gt;=AB58)*($AK$15:$AK$114=$U$2),0),2),"")</f>
        <v/>
      </c>
      <c r="AC62" s="25" t="str">
        <f t="array" ref="AC62">IFERROR(INDEX($AK$15:$AN$114,MATCH(1,(AC58&gt;=$AM$15:$AM$114)*($AN$15:$AN$114&gt;=AC58)*($AK$15:$AK$114=$U$2),0),2),"")</f>
        <v/>
      </c>
      <c r="AD62" s="25" t="str">
        <f t="array" ref="AD62">IFERROR(INDEX($AK$15:$AN$114,MATCH(1,(AD58&gt;=$AM$15:$AM$114)*($AN$15:$AN$114&gt;=AD58)*($AK$15:$AK$114=$U$2),0),2),"")</f>
        <v/>
      </c>
      <c r="AE62" s="25" t="str">
        <f t="array" ref="AE62">IFERROR(INDEX($AK$15:$AN$114,MATCH(1,(AE58&gt;=$AM$15:$AM$114)*($AN$15:$AN$114&gt;=AE58)*($AK$15:$AK$114=$U$2),0),2),"")</f>
        <v/>
      </c>
      <c r="AF62" s="25" t="str">
        <f t="array" ref="AF62">IFERROR(INDEX($AK$15:$AN$114,MATCH(1,(AF58&gt;=$AM$15:$AM$114)*($AN$15:$AN$114&gt;=AF58)*($AK$15:$AK$114=$U$2),0),2),"")</f>
        <v/>
      </c>
      <c r="AG62" s="645" t="str">
        <f t="array" ref="AG62">IFERROR(INDEX($AK$15:$AN$114,MATCH(1,(AG58&gt;=$AM$15:$AM$114)*($AN$15:$AN$114&gt;=AG58)*($AK$15:$AK$114=$U$2),0),2),"")</f>
        <v/>
      </c>
      <c r="AH62" s="649">
        <f>COUNTIF(C62:AG62,AI62)</f>
        <v>0</v>
      </c>
      <c r="AI62" s="641" t="s">
        <v>362</v>
      </c>
      <c r="AJ62" s="13">
        <v>48</v>
      </c>
      <c r="AL62" s="23"/>
      <c r="AM62" s="31"/>
      <c r="AN62" s="31"/>
      <c r="AO62" s="635">
        <f>Absences26810126[[#This Row],[debut]]</f>
        <v>0</v>
      </c>
    </row>
    <row r="63" spans="1:41" ht="14.25" customHeight="1" x14ac:dyDescent="0.25">
      <c r="A63" s="651"/>
      <c r="B63" s="20">
        <f>DATE($C$2,MONTH(1&amp;"/"&amp;C64),1)</f>
        <v>44166</v>
      </c>
      <c r="C63" s="14">
        <f>B63</f>
        <v>44166</v>
      </c>
      <c r="D63" s="14">
        <f>IFERROR(IF(C63+1&gt;$B$64,"",C63+1),"")</f>
        <v>44167</v>
      </c>
      <c r="E63" s="14">
        <f t="shared" ref="E63:AG63" si="46">IFERROR(IF(D63+1&gt;$B$64,"",D63+1),"")</f>
        <v>44168</v>
      </c>
      <c r="F63" s="14">
        <f t="shared" si="46"/>
        <v>44169</v>
      </c>
      <c r="G63" s="14">
        <f t="shared" si="46"/>
        <v>44170</v>
      </c>
      <c r="H63" s="14">
        <f t="shared" si="46"/>
        <v>44171</v>
      </c>
      <c r="I63" s="14">
        <f t="shared" si="46"/>
        <v>44172</v>
      </c>
      <c r="J63" s="14">
        <f t="shared" si="46"/>
        <v>44173</v>
      </c>
      <c r="K63" s="14">
        <f t="shared" si="46"/>
        <v>44174</v>
      </c>
      <c r="L63" s="14">
        <f t="shared" si="46"/>
        <v>44175</v>
      </c>
      <c r="M63" s="14">
        <f t="shared" si="46"/>
        <v>44176</v>
      </c>
      <c r="N63" s="14">
        <f t="shared" si="46"/>
        <v>44177</v>
      </c>
      <c r="O63" s="14">
        <f t="shared" si="46"/>
        <v>44178</v>
      </c>
      <c r="P63" s="14">
        <f t="shared" si="46"/>
        <v>44179</v>
      </c>
      <c r="Q63" s="14">
        <f t="shared" si="46"/>
        <v>44180</v>
      </c>
      <c r="R63" s="14">
        <f t="shared" si="46"/>
        <v>44181</v>
      </c>
      <c r="S63" s="14">
        <f t="shared" si="46"/>
        <v>44182</v>
      </c>
      <c r="T63" s="14">
        <f t="shared" si="46"/>
        <v>44183</v>
      </c>
      <c r="U63" s="14">
        <f t="shared" si="46"/>
        <v>44184</v>
      </c>
      <c r="V63" s="14">
        <f t="shared" si="46"/>
        <v>44185</v>
      </c>
      <c r="W63" s="14">
        <f t="shared" si="46"/>
        <v>44186</v>
      </c>
      <c r="X63" s="14">
        <f t="shared" si="46"/>
        <v>44187</v>
      </c>
      <c r="Y63" s="14">
        <f t="shared" si="46"/>
        <v>44188</v>
      </c>
      <c r="Z63" s="14">
        <f t="shared" si="46"/>
        <v>44189</v>
      </c>
      <c r="AA63" s="14">
        <f t="shared" si="46"/>
        <v>44190</v>
      </c>
      <c r="AB63" s="14">
        <f t="shared" si="46"/>
        <v>44191</v>
      </c>
      <c r="AC63" s="14">
        <f t="shared" si="46"/>
        <v>44192</v>
      </c>
      <c r="AD63" s="14">
        <f t="shared" si="46"/>
        <v>44193</v>
      </c>
      <c r="AE63" s="14">
        <f t="shared" si="46"/>
        <v>44194</v>
      </c>
      <c r="AF63" s="14">
        <f t="shared" si="46"/>
        <v>44195</v>
      </c>
      <c r="AG63" s="642">
        <f t="shared" si="46"/>
        <v>44196</v>
      </c>
      <c r="AH63" s="647">
        <f>COUNTIF(C67:AG67,AI63)</f>
        <v>0</v>
      </c>
      <c r="AI63" s="640" t="s">
        <v>8</v>
      </c>
      <c r="AJ63" s="13">
        <v>49</v>
      </c>
      <c r="AL63" s="23"/>
      <c r="AM63" s="31"/>
      <c r="AN63" s="31"/>
      <c r="AO63" s="635">
        <f>Absences26810126[[#This Row],[debut]]</f>
        <v>0</v>
      </c>
    </row>
    <row r="64" spans="1:41" ht="18.75" x14ac:dyDescent="0.25">
      <c r="A64" s="652"/>
      <c r="B64" s="21">
        <f>EOMONTH(B63,0)</f>
        <v>44196</v>
      </c>
      <c r="C64" s="1476" t="s">
        <v>51</v>
      </c>
      <c r="D64" s="1477"/>
      <c r="E64" s="1477"/>
      <c r="F64" s="1477"/>
      <c r="G64" s="1477"/>
      <c r="H64" s="1477"/>
      <c r="I64" s="1477"/>
      <c r="J64" s="1477"/>
      <c r="K64" s="1477"/>
      <c r="L64" s="1477"/>
      <c r="M64" s="1477"/>
      <c r="N64" s="1477"/>
      <c r="O64" s="1477"/>
      <c r="P64" s="1477"/>
      <c r="Q64" s="1477"/>
      <c r="R64" s="1477"/>
      <c r="S64" s="1477"/>
      <c r="T64" s="1477"/>
      <c r="U64" s="1477"/>
      <c r="V64" s="1477"/>
      <c r="W64" s="1477"/>
      <c r="X64" s="1477"/>
      <c r="Y64" s="1477"/>
      <c r="Z64" s="1477"/>
      <c r="AA64" s="1477"/>
      <c r="AB64" s="1477"/>
      <c r="AC64" s="1477"/>
      <c r="AD64" s="1477"/>
      <c r="AE64" s="1477"/>
      <c r="AF64" s="1477"/>
      <c r="AG64" s="1477"/>
      <c r="AH64" s="648">
        <f>COUNTIF(C67:AG67,AI64)</f>
        <v>0</v>
      </c>
      <c r="AI64" s="629" t="s">
        <v>360</v>
      </c>
      <c r="AJ64" s="13">
        <v>50</v>
      </c>
      <c r="AL64" s="23"/>
      <c r="AM64" s="31"/>
      <c r="AN64" s="31"/>
      <c r="AO64" s="635">
        <f>Absences26810126[[#This Row],[debut]]</f>
        <v>0</v>
      </c>
    </row>
    <row r="65" spans="1:41" ht="15" customHeight="1" x14ac:dyDescent="0.25">
      <c r="A65" s="654" t="s">
        <v>662</v>
      </c>
      <c r="B65" s="657">
        <f>COUNTIF(C67:AG67,A65)</f>
        <v>0</v>
      </c>
      <c r="C65" s="6">
        <f t="shared" ref="C65:AG65" si="47">IFERROR(DAY(C63),"")</f>
        <v>1</v>
      </c>
      <c r="D65" s="3">
        <f t="shared" si="47"/>
        <v>2</v>
      </c>
      <c r="E65" s="3">
        <f t="shared" si="47"/>
        <v>3</v>
      </c>
      <c r="F65" s="3">
        <f t="shared" si="47"/>
        <v>4</v>
      </c>
      <c r="G65" s="3">
        <f t="shared" si="47"/>
        <v>5</v>
      </c>
      <c r="H65" s="3">
        <f t="shared" si="47"/>
        <v>6</v>
      </c>
      <c r="I65" s="3">
        <f t="shared" si="47"/>
        <v>7</v>
      </c>
      <c r="J65" s="3">
        <f t="shared" si="47"/>
        <v>8</v>
      </c>
      <c r="K65" s="3">
        <f t="shared" si="47"/>
        <v>9</v>
      </c>
      <c r="L65" s="3">
        <f t="shared" si="47"/>
        <v>10</v>
      </c>
      <c r="M65" s="3">
        <f t="shared" si="47"/>
        <v>11</v>
      </c>
      <c r="N65" s="3">
        <f t="shared" si="47"/>
        <v>12</v>
      </c>
      <c r="O65" s="3">
        <f t="shared" si="47"/>
        <v>13</v>
      </c>
      <c r="P65" s="3">
        <f t="shared" si="47"/>
        <v>14</v>
      </c>
      <c r="Q65" s="3">
        <f t="shared" si="47"/>
        <v>15</v>
      </c>
      <c r="R65" s="3">
        <f t="shared" si="47"/>
        <v>16</v>
      </c>
      <c r="S65" s="3">
        <f t="shared" si="47"/>
        <v>17</v>
      </c>
      <c r="T65" s="3">
        <f t="shared" si="47"/>
        <v>18</v>
      </c>
      <c r="U65" s="3">
        <f t="shared" si="47"/>
        <v>19</v>
      </c>
      <c r="V65" s="3">
        <f t="shared" si="47"/>
        <v>20</v>
      </c>
      <c r="W65" s="3">
        <f t="shared" si="47"/>
        <v>21</v>
      </c>
      <c r="X65" s="3">
        <f t="shared" si="47"/>
        <v>22</v>
      </c>
      <c r="Y65" s="3">
        <f t="shared" si="47"/>
        <v>23</v>
      </c>
      <c r="Z65" s="3">
        <f t="shared" si="47"/>
        <v>24</v>
      </c>
      <c r="AA65" s="3">
        <f t="shared" si="47"/>
        <v>25</v>
      </c>
      <c r="AB65" s="3">
        <f t="shared" si="47"/>
        <v>26</v>
      </c>
      <c r="AC65" s="3">
        <f t="shared" si="47"/>
        <v>27</v>
      </c>
      <c r="AD65" s="3">
        <f t="shared" si="47"/>
        <v>28</v>
      </c>
      <c r="AE65" s="3">
        <f t="shared" si="47"/>
        <v>29</v>
      </c>
      <c r="AF65" s="3">
        <f t="shared" si="47"/>
        <v>30</v>
      </c>
      <c r="AG65" s="643">
        <f t="shared" si="47"/>
        <v>31</v>
      </c>
      <c r="AH65" s="648">
        <f>COUNTIF(C67:AG67,AI65)</f>
        <v>0</v>
      </c>
      <c r="AI65" s="10" t="s">
        <v>6</v>
      </c>
      <c r="AJ65" s="13">
        <v>51</v>
      </c>
      <c r="AL65" s="23"/>
      <c r="AM65" s="31"/>
      <c r="AN65" s="31"/>
      <c r="AO65" s="635">
        <f>Absences26810126[[#This Row],[debut]]</f>
        <v>0</v>
      </c>
    </row>
    <row r="66" spans="1:41" x14ac:dyDescent="0.25">
      <c r="A66" s="655" t="s">
        <v>800</v>
      </c>
      <c r="B66" s="658">
        <f>COUNTIF(C67:AG67,A66)</f>
        <v>0</v>
      </c>
      <c r="C66" s="5">
        <f t="shared" ref="C66:AC66" si="48">IF(C63="","",WEEKDAY(C63,1))</f>
        <v>3</v>
      </c>
      <c r="D66" s="8">
        <f t="shared" si="48"/>
        <v>4</v>
      </c>
      <c r="E66" s="8">
        <f t="shared" si="48"/>
        <v>5</v>
      </c>
      <c r="F66" s="8">
        <f t="shared" si="48"/>
        <v>6</v>
      </c>
      <c r="G66" s="8">
        <f t="shared" si="48"/>
        <v>7</v>
      </c>
      <c r="H66" s="8">
        <f t="shared" si="48"/>
        <v>1</v>
      </c>
      <c r="I66" s="8">
        <f t="shared" si="48"/>
        <v>2</v>
      </c>
      <c r="J66" s="8">
        <f t="shared" si="48"/>
        <v>3</v>
      </c>
      <c r="K66" s="8">
        <f t="shared" si="48"/>
        <v>4</v>
      </c>
      <c r="L66" s="8">
        <f t="shared" si="48"/>
        <v>5</v>
      </c>
      <c r="M66" s="8">
        <f t="shared" si="48"/>
        <v>6</v>
      </c>
      <c r="N66" s="8">
        <f t="shared" si="48"/>
        <v>7</v>
      </c>
      <c r="O66" s="8">
        <f t="shared" si="48"/>
        <v>1</v>
      </c>
      <c r="P66" s="8">
        <f t="shared" si="48"/>
        <v>2</v>
      </c>
      <c r="Q66" s="8">
        <f t="shared" si="48"/>
        <v>3</v>
      </c>
      <c r="R66" s="8">
        <f t="shared" si="48"/>
        <v>4</v>
      </c>
      <c r="S66" s="8">
        <f t="shared" si="48"/>
        <v>5</v>
      </c>
      <c r="T66" s="8">
        <f t="shared" si="48"/>
        <v>6</v>
      </c>
      <c r="U66" s="8">
        <f t="shared" si="48"/>
        <v>7</v>
      </c>
      <c r="V66" s="8">
        <f t="shared" si="48"/>
        <v>1</v>
      </c>
      <c r="W66" s="8">
        <f t="shared" si="48"/>
        <v>2</v>
      </c>
      <c r="X66" s="8">
        <f t="shared" si="48"/>
        <v>3</v>
      </c>
      <c r="Y66" s="8">
        <f t="shared" si="48"/>
        <v>4</v>
      </c>
      <c r="Z66" s="8">
        <f t="shared" si="48"/>
        <v>5</v>
      </c>
      <c r="AA66" s="8">
        <f t="shared" si="48"/>
        <v>6</v>
      </c>
      <c r="AB66" s="8">
        <f t="shared" si="48"/>
        <v>7</v>
      </c>
      <c r="AC66" s="8">
        <f t="shared" si="48"/>
        <v>1</v>
      </c>
      <c r="AD66" s="8">
        <f>IF(AD63="","",WEEKDAY(AD63,1))</f>
        <v>2</v>
      </c>
      <c r="AE66" s="8">
        <f>IF(AE63="","",WEEKDAY(AE63,1))</f>
        <v>3</v>
      </c>
      <c r="AF66" s="8">
        <f t="shared" ref="AF66:AG66" si="49">IF(AF63="","",WEEKDAY(AF63,1))</f>
        <v>4</v>
      </c>
      <c r="AG66" s="644">
        <f t="shared" si="49"/>
        <v>5</v>
      </c>
      <c r="AH66" s="648">
        <f>COUNTIF(C67:AG67,AI66)</f>
        <v>0</v>
      </c>
      <c r="AI66" s="633" t="s">
        <v>799</v>
      </c>
      <c r="AJ66" s="13">
        <v>52</v>
      </c>
      <c r="AL66" s="23"/>
      <c r="AM66" s="31"/>
      <c r="AN66" s="31"/>
      <c r="AO66" s="635">
        <f>Absences26810126[[#This Row],[debut]]</f>
        <v>0</v>
      </c>
    </row>
    <row r="67" spans="1:41" ht="16.5" thickBot="1" x14ac:dyDescent="0.3">
      <c r="A67" s="656" t="s">
        <v>7</v>
      </c>
      <c r="B67" s="659">
        <f>COUNTIF(C67:AG67,A67)</f>
        <v>0</v>
      </c>
      <c r="C67" s="4" t="str">
        <f t="array" ref="C67">IFERROR(INDEX($AK$15:$AN$114,MATCH(1,(C63&gt;=$AM$15:$AM$114)*($AN$15:$AN$114&gt;=C63)*($AK$15:$AK$114=$U$2),0),2),"")</f>
        <v/>
      </c>
      <c r="D67" s="4" t="str">
        <f t="array" ref="D67">IFERROR(INDEX($AK$15:$AN$114,MATCH(1,(D63&gt;=$AM$15:$AM$114)*($AN$15:$AN$114&gt;=D63)*($AK$15:$AK$114=$U$2),0),2),"")</f>
        <v/>
      </c>
      <c r="E67" s="4" t="str">
        <f t="array" ref="E67">IFERROR(INDEX($AK$15:$AN$114,MATCH(1,(E63&gt;=$AM$15:$AM$114)*($AN$15:$AN$114&gt;=E63)*($AK$15:$AK$114=$U$2),0),2),"")</f>
        <v/>
      </c>
      <c r="F67" s="4" t="str">
        <f t="array" ref="F67">IFERROR(INDEX($AK$15:$AN$114,MATCH(1,(F63&gt;=$AM$15:$AM$114)*($AN$15:$AN$114&gt;=F63)*($AK$15:$AK$114=$U$2),0),2),"")</f>
        <v/>
      </c>
      <c r="G67" s="4" t="str">
        <f t="array" ref="G67">IFERROR(INDEX($AK$15:$AN$114,MATCH(1,(G63&gt;=$AM$15:$AM$114)*($AN$15:$AN$114&gt;=G63)*($AK$15:$AK$114=$U$2),0),2),"")</f>
        <v/>
      </c>
      <c r="H67" s="4" t="str">
        <f t="array" ref="H67">IFERROR(INDEX($AK$15:$AN$114,MATCH(1,(H63&gt;=$AM$15:$AM$114)*($AN$15:$AN$114&gt;=H63)*($AK$15:$AK$114=$U$2),0),2),"")</f>
        <v/>
      </c>
      <c r="I67" s="4" t="str">
        <f t="array" ref="I67">IFERROR(INDEX($AK$15:$AN$114,MATCH(1,(I63&gt;=$AM$15:$AM$114)*($AN$15:$AN$114&gt;=I63)*($AK$15:$AK$114=$U$2),0),2),"")</f>
        <v/>
      </c>
      <c r="J67" s="4" t="str">
        <f t="array" ref="J67">IFERROR(INDEX($AK$15:$AN$114,MATCH(1,(J63&gt;=$AM$15:$AM$114)*($AN$15:$AN$114&gt;=J63)*($AK$15:$AK$114=$U$2),0),2),"")</f>
        <v/>
      </c>
      <c r="K67" s="4" t="str">
        <f t="array" ref="K67">IFERROR(INDEX($AK$15:$AN$114,MATCH(1,(K63&gt;=$AM$15:$AM$114)*($AN$15:$AN$114&gt;=K63)*($AK$15:$AK$114=$U$2),0),2),"")</f>
        <v/>
      </c>
      <c r="L67" s="4" t="str">
        <f t="array" ref="L67">IFERROR(INDEX($AK$15:$AN$114,MATCH(1,(L63&gt;=$AM$15:$AM$114)*($AN$15:$AN$114&gt;=L63)*($AK$15:$AK$114=$U$2),0),2),"")</f>
        <v/>
      </c>
      <c r="M67" s="4" t="str">
        <f t="array" ref="M67">IFERROR(INDEX($AK$15:$AN$114,MATCH(1,(M63&gt;=$AM$15:$AM$114)*($AN$15:$AN$114&gt;=M63)*($AK$15:$AK$114=$U$2),0),2),"")</f>
        <v/>
      </c>
      <c r="N67" s="4" t="str">
        <f t="array" ref="N67">IFERROR(INDEX($AK$15:$AN$114,MATCH(1,(N63&gt;=$AM$15:$AM$114)*($AN$15:$AN$114&gt;=N63)*($AK$15:$AK$114=$U$2),0),2),"")</f>
        <v/>
      </c>
      <c r="O67" s="4" t="str">
        <f t="array" ref="O67">IFERROR(INDEX($AK$15:$AN$114,MATCH(1,(O63&gt;=$AM$15:$AM$114)*($AN$15:$AN$114&gt;=O63)*($AK$15:$AK$114=$U$2),0),2),"")</f>
        <v/>
      </c>
      <c r="P67" s="4" t="str">
        <f t="array" ref="P67">IFERROR(INDEX($AK$15:$AN$114,MATCH(1,(P63&gt;=$AM$15:$AM$114)*($AN$15:$AN$114&gt;=P63)*($AK$15:$AK$114=$U$2),0),2),"")</f>
        <v/>
      </c>
      <c r="Q67" s="4" t="str">
        <f t="array" ref="Q67">IFERROR(INDEX($AK$15:$AN$114,MATCH(1,(Q63&gt;=$AM$15:$AM$114)*($AN$15:$AN$114&gt;=Q63)*($AK$15:$AK$114=$U$2),0),2),"")</f>
        <v/>
      </c>
      <c r="R67" s="4" t="str">
        <f t="array" ref="R67">IFERROR(INDEX($AK$15:$AN$114,MATCH(1,(R63&gt;=$AM$15:$AM$114)*($AN$15:$AN$114&gt;=R63)*($AK$15:$AK$114=$U$2),0),2),"")</f>
        <v/>
      </c>
      <c r="S67" s="4" t="str">
        <f t="array" ref="S67">IFERROR(INDEX($AK$15:$AN$114,MATCH(1,(S63&gt;=$AM$15:$AM$114)*($AN$15:$AN$114&gt;=S63)*($AK$15:$AK$114=$U$2),0),2),"")</f>
        <v/>
      </c>
      <c r="T67" s="4" t="str">
        <f t="array" ref="T67">IFERROR(INDEX($AK$15:$AN$114,MATCH(1,(T63&gt;=$AM$15:$AM$114)*($AN$15:$AN$114&gt;=T63)*($AK$15:$AK$114=$U$2),0),2),"")</f>
        <v/>
      </c>
      <c r="U67" s="4" t="str">
        <f t="array" ref="U67">IFERROR(INDEX($AK$15:$AN$114,MATCH(1,(U63&gt;=$AM$15:$AM$114)*($AN$15:$AN$114&gt;=U63)*($AK$15:$AK$114=$U$2),0),2),"")</f>
        <v/>
      </c>
      <c r="V67" s="4" t="str">
        <f t="array" ref="V67">IFERROR(INDEX($AK$15:$AN$114,MATCH(1,(V63&gt;=$AM$15:$AM$114)*($AN$15:$AN$114&gt;=V63)*($AK$15:$AK$114=$U$2),0),2),"")</f>
        <v/>
      </c>
      <c r="W67" s="4" t="str">
        <f t="array" ref="W67">IFERROR(INDEX($AK$15:$AN$114,MATCH(1,(W63&gt;=$AM$15:$AM$114)*($AN$15:$AN$114&gt;=W63)*($AK$15:$AK$114=$U$2),0),2),"")</f>
        <v/>
      </c>
      <c r="X67" s="4" t="str">
        <f t="array" ref="X67">IFERROR(INDEX($AK$15:$AN$114,MATCH(1,(X63&gt;=$AM$15:$AM$114)*($AN$15:$AN$114&gt;=X63)*($AK$15:$AK$114=$U$2),0),2),"")</f>
        <v/>
      </c>
      <c r="Y67" s="4" t="str">
        <f t="array" ref="Y67">IFERROR(INDEX($AK$15:$AN$114,MATCH(1,(Y63&gt;=$AM$15:$AM$114)*($AN$15:$AN$114&gt;=Y63)*($AK$15:$AK$114=$U$2),0),2),"")</f>
        <v/>
      </c>
      <c r="Z67" s="4" t="str">
        <f t="array" ref="Z67">IFERROR(INDEX($AK$15:$AN$114,MATCH(1,(Z63&gt;=$AM$15:$AM$114)*($AN$15:$AN$114&gt;=Z63)*($AK$15:$AK$114=$U$2),0),2),"")</f>
        <v/>
      </c>
      <c r="AA67" s="4" t="str">
        <f t="array" ref="AA67">IFERROR(INDEX($AK$15:$AN$114,MATCH(1,(AA63&gt;=$AM$15:$AM$114)*($AN$15:$AN$114&gt;=AA63)*($AK$15:$AK$114=$U$2),0),2),"")</f>
        <v/>
      </c>
      <c r="AB67" s="4" t="str">
        <f t="array" ref="AB67">IFERROR(INDEX($AK$15:$AN$114,MATCH(1,(AB63&gt;=$AM$15:$AM$114)*($AN$15:$AN$114&gt;=AB63)*($AK$15:$AK$114=$U$2),0),2),"")</f>
        <v/>
      </c>
      <c r="AC67" s="4" t="str">
        <f t="array" ref="AC67">IFERROR(INDEX($AK$15:$AN$114,MATCH(1,(AC63&gt;=$AM$15:$AM$114)*($AN$15:$AN$114&gt;=AC63)*($AK$15:$AK$114=$U$2),0),2),"")</f>
        <v/>
      </c>
      <c r="AD67" s="4" t="str">
        <f t="array" ref="AD67">IFERROR(INDEX($AK$15:$AN$114,MATCH(1,(AD63&gt;=$AM$15:$AM$114)*($AN$15:$AN$114&gt;=AD63)*($AK$15:$AK$114=$U$2),0),2),"")</f>
        <v/>
      </c>
      <c r="AE67" s="4" t="str">
        <f t="array" ref="AE67">IFERROR(INDEX($AK$15:$AN$114,MATCH(1,(AE63&gt;=$AM$15:$AM$114)*($AN$15:$AN$114&gt;=AE63)*($AK$15:$AK$114=$U$2),0),2),"")</f>
        <v/>
      </c>
      <c r="AF67" s="4" t="str">
        <f t="array" ref="AF67">IFERROR(INDEX($AK$15:$AN$114,MATCH(1,(AF63&gt;=$AM$15:$AM$114)*($AN$15:$AN$114&gt;=AF63)*($AK$15:$AK$114=$U$2),0),2),"")</f>
        <v/>
      </c>
      <c r="AG67" s="646" t="str">
        <f t="array" ref="AG67">IFERROR(INDEX($AK$15:$AN$114,MATCH(1,(AG63&gt;=$AM$15:$AM$114)*($AN$15:$AN$114&gt;=AG63)*($AK$15:$AK$114=$U$2),0),2),"")</f>
        <v/>
      </c>
      <c r="AH67" s="649">
        <f>COUNTIF(C67:AG67,AI67)</f>
        <v>0</v>
      </c>
      <c r="AI67" s="641" t="s">
        <v>362</v>
      </c>
      <c r="AJ67" s="13">
        <v>53</v>
      </c>
      <c r="AL67" s="23"/>
      <c r="AM67" s="31"/>
      <c r="AN67" s="31"/>
      <c r="AO67" s="635">
        <f>Absences26810126[[#This Row],[debut]]</f>
        <v>0</v>
      </c>
    </row>
    <row r="68" spans="1:41" x14ac:dyDescent="0.25">
      <c r="A68" s="13"/>
      <c r="AH68" s="13"/>
      <c r="AI68" s="13"/>
      <c r="AJ68" s="13">
        <v>54</v>
      </c>
      <c r="AL68" s="23"/>
      <c r="AM68" s="31"/>
      <c r="AN68" s="31"/>
      <c r="AO68" s="635">
        <f>Absences26810126[[#This Row],[debut]]</f>
        <v>0</v>
      </c>
    </row>
    <row r="69" spans="1:41" ht="23.25" x14ac:dyDescent="0.25">
      <c r="A69" s="13"/>
      <c r="B69" s="18"/>
      <c r="C69" s="616" t="s">
        <v>801</v>
      </c>
      <c r="D69" s="18"/>
      <c r="E69" s="18"/>
      <c r="F69" s="18"/>
      <c r="G69" s="18"/>
      <c r="H69" s="18"/>
      <c r="I69" s="18"/>
      <c r="J69" s="18"/>
      <c r="K69" s="18"/>
      <c r="L69" s="18"/>
      <c r="M69" s="18"/>
      <c r="N69" s="18"/>
      <c r="O69" s="18"/>
      <c r="P69" s="18"/>
      <c r="Q69" s="18"/>
      <c r="R69" s="18"/>
      <c r="S69" s="13"/>
      <c r="T69" s="13"/>
      <c r="U69" s="13"/>
      <c r="V69" s="13"/>
      <c r="W69" s="13"/>
      <c r="X69" s="13"/>
      <c r="Y69" s="13"/>
      <c r="Z69" s="13"/>
      <c r="AA69" s="13"/>
      <c r="AB69" s="13"/>
      <c r="AC69" s="13"/>
      <c r="AD69" s="13"/>
      <c r="AE69" s="13"/>
      <c r="AF69" s="13"/>
      <c r="AG69" s="13"/>
      <c r="AH69" s="13"/>
      <c r="AI69" s="13"/>
      <c r="AJ69" s="13">
        <v>55</v>
      </c>
      <c r="AL69" s="23"/>
      <c r="AM69" s="31"/>
      <c r="AN69" s="31"/>
      <c r="AO69" s="635">
        <f>Absences26810126[[#This Row],[debut]]</f>
        <v>0</v>
      </c>
    </row>
    <row r="70" spans="1:41" x14ac:dyDescent="0.25">
      <c r="A70" s="13"/>
      <c r="B70" s="18"/>
      <c r="C70" s="614" t="s">
        <v>815</v>
      </c>
      <c r="D70" s="614"/>
      <c r="E70" s="614"/>
      <c r="F70" s="614"/>
      <c r="G70" s="614"/>
      <c r="H70" s="614"/>
      <c r="I70" s="614"/>
      <c r="J70" s="614"/>
      <c r="K70" s="614"/>
      <c r="L70" s="614"/>
      <c r="M70" s="614"/>
      <c r="N70" s="614"/>
      <c r="O70" s="614"/>
      <c r="P70" s="18"/>
      <c r="Q70" s="18"/>
      <c r="R70" s="18"/>
      <c r="S70" s="13"/>
      <c r="T70" s="13"/>
      <c r="U70" s="13"/>
      <c r="V70" s="13"/>
      <c r="W70" s="13"/>
      <c r="X70" s="13"/>
      <c r="Y70" s="13"/>
      <c r="Z70" s="13"/>
      <c r="AA70" s="13"/>
      <c r="AB70" s="13"/>
      <c r="AC70" s="13"/>
      <c r="AD70" s="13"/>
      <c r="AE70" s="13"/>
      <c r="AF70" s="13"/>
      <c r="AG70" s="13"/>
      <c r="AH70" s="13"/>
      <c r="AI70" s="13"/>
      <c r="AJ70" s="13">
        <v>56</v>
      </c>
      <c r="AL70" s="23"/>
      <c r="AM70" s="31"/>
      <c r="AN70" s="31"/>
      <c r="AO70" s="635">
        <f>Absences26810126[[#This Row],[debut]]</f>
        <v>0</v>
      </c>
    </row>
    <row r="71" spans="1:41" x14ac:dyDescent="0.25">
      <c r="A71" s="13"/>
      <c r="C71" s="634" t="s">
        <v>814</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57</v>
      </c>
      <c r="AL71" s="23"/>
      <c r="AM71" s="31"/>
      <c r="AN71" s="31"/>
      <c r="AO71" s="635">
        <f>Absences26810126[[#This Row],[debut]]</f>
        <v>0</v>
      </c>
    </row>
    <row r="72" spans="1:41" x14ac:dyDescent="0.25">
      <c r="A72" s="13"/>
      <c r="B72" s="620" t="s">
        <v>184</v>
      </c>
      <c r="C72" s="617" t="s">
        <v>0</v>
      </c>
      <c r="D72" s="18" t="s">
        <v>816</v>
      </c>
      <c r="E72" s="18"/>
      <c r="F72" s="18"/>
      <c r="G72" s="18"/>
      <c r="H72" s="18"/>
      <c r="I72" s="18"/>
      <c r="J72" s="18"/>
      <c r="K72" s="18"/>
      <c r="L72" s="18"/>
      <c r="M72" s="18"/>
      <c r="N72" s="18"/>
      <c r="O72" s="18"/>
      <c r="P72" s="18"/>
      <c r="Q72" s="18"/>
      <c r="R72" s="18"/>
      <c r="S72" s="13"/>
      <c r="T72" s="13" t="s">
        <v>811</v>
      </c>
      <c r="U72" s="13"/>
      <c r="V72" s="13"/>
      <c r="W72" s="13"/>
      <c r="X72" s="13"/>
      <c r="Y72" s="13"/>
      <c r="Z72" s="13"/>
      <c r="AA72" s="13"/>
      <c r="AB72" s="13"/>
      <c r="AC72" s="13"/>
      <c r="AD72" s="13"/>
      <c r="AE72" s="13"/>
      <c r="AF72" s="13"/>
      <c r="AG72" s="13"/>
      <c r="AH72" s="13"/>
      <c r="AI72" s="13"/>
      <c r="AJ72" s="13">
        <v>58</v>
      </c>
      <c r="AL72" s="23"/>
      <c r="AM72" s="31"/>
      <c r="AN72" s="31"/>
      <c r="AO72" s="635">
        <f>Absences26810126[[#This Row],[debut]]</f>
        <v>0</v>
      </c>
    </row>
    <row r="73" spans="1:41" x14ac:dyDescent="0.25">
      <c r="A73" s="13"/>
      <c r="B73" s="620" t="s">
        <v>185</v>
      </c>
      <c r="C73" s="612" t="s">
        <v>3</v>
      </c>
      <c r="D73" s="18" t="s">
        <v>802</v>
      </c>
      <c r="E73" s="18"/>
      <c r="F73" s="18"/>
      <c r="G73" s="18"/>
      <c r="H73" s="18"/>
      <c r="I73" s="18"/>
      <c r="J73" s="18"/>
      <c r="K73" s="18"/>
      <c r="L73" s="18"/>
      <c r="M73" s="18"/>
      <c r="N73" s="18"/>
      <c r="O73" s="18"/>
      <c r="P73" s="18"/>
      <c r="Q73" s="18"/>
      <c r="R73" s="18"/>
      <c r="S73" s="13"/>
      <c r="T73" s="13" t="s">
        <v>787</v>
      </c>
      <c r="U73" s="13"/>
      <c r="V73" s="13"/>
      <c r="W73" s="13"/>
      <c r="X73" s="13"/>
      <c r="Y73" s="13"/>
      <c r="Z73" s="13"/>
      <c r="AA73" s="13"/>
      <c r="AB73" s="13"/>
      <c r="AC73" s="13"/>
      <c r="AD73" s="13"/>
      <c r="AE73" s="13"/>
      <c r="AF73" s="13"/>
      <c r="AG73" s="13"/>
      <c r="AH73" s="13"/>
      <c r="AI73" s="13"/>
      <c r="AJ73" s="13">
        <v>59</v>
      </c>
      <c r="AL73" s="23"/>
      <c r="AM73" s="31"/>
      <c r="AN73" s="31"/>
      <c r="AO73" s="635">
        <f>Absences26810126[[#This Row],[debut]]</f>
        <v>0</v>
      </c>
    </row>
    <row r="74" spans="1:41" x14ac:dyDescent="0.25">
      <c r="A74" s="13"/>
      <c r="B74" s="621"/>
      <c r="C74" s="18"/>
      <c r="D74" s="18" t="s">
        <v>805</v>
      </c>
      <c r="E74" s="18"/>
      <c r="F74" s="18"/>
      <c r="G74" s="18"/>
      <c r="H74" s="18"/>
      <c r="I74" s="18"/>
      <c r="J74" s="18"/>
      <c r="K74" s="18"/>
      <c r="L74" s="18"/>
      <c r="M74" s="93"/>
      <c r="N74" s="618"/>
      <c r="O74" s="18"/>
      <c r="P74" s="18"/>
      <c r="Q74" s="18"/>
      <c r="R74" s="18"/>
      <c r="S74" s="13"/>
      <c r="T74" s="13" t="s">
        <v>791</v>
      </c>
      <c r="U74" s="13"/>
      <c r="V74" s="13"/>
      <c r="W74" s="13"/>
      <c r="X74" s="13"/>
      <c r="Y74" s="13"/>
      <c r="Z74" s="13"/>
      <c r="AA74" s="13"/>
      <c r="AB74" s="13"/>
      <c r="AC74" s="13"/>
      <c r="AD74" s="13"/>
      <c r="AE74" s="13"/>
      <c r="AF74" s="13"/>
      <c r="AG74" s="13"/>
      <c r="AH74" s="13"/>
      <c r="AI74" s="13"/>
      <c r="AJ74" s="13">
        <v>60</v>
      </c>
      <c r="AL74" s="23"/>
      <c r="AM74" s="31"/>
      <c r="AN74" s="31"/>
      <c r="AO74" s="635">
        <f>Absences26810126[[#This Row],[debut]]</f>
        <v>0</v>
      </c>
    </row>
    <row r="75" spans="1:41" x14ac:dyDescent="0.25">
      <c r="A75" s="13"/>
      <c r="B75" s="620" t="s">
        <v>186</v>
      </c>
      <c r="C75" s="612" t="s">
        <v>1</v>
      </c>
      <c r="D75" s="626" t="s">
        <v>2</v>
      </c>
      <c r="E75" s="18" t="s">
        <v>828</v>
      </c>
      <c r="F75" s="18"/>
      <c r="G75" s="18"/>
      <c r="H75" s="18"/>
      <c r="I75" s="18"/>
      <c r="J75" s="18"/>
      <c r="K75" s="18"/>
      <c r="L75" s="18"/>
      <c r="M75" s="18"/>
      <c r="N75" s="18"/>
      <c r="O75" s="18"/>
      <c r="P75" s="18"/>
      <c r="Q75" s="18"/>
      <c r="R75" s="18"/>
      <c r="S75" s="13"/>
      <c r="T75" s="13" t="s">
        <v>788</v>
      </c>
      <c r="U75" s="13"/>
      <c r="V75" s="13"/>
      <c r="W75" s="13"/>
      <c r="X75" s="13"/>
      <c r="Y75" s="13"/>
      <c r="Z75" s="13"/>
      <c r="AA75" s="13"/>
      <c r="AB75" s="13"/>
      <c r="AC75" s="13"/>
      <c r="AD75" s="13"/>
      <c r="AE75" s="13"/>
      <c r="AF75" s="13"/>
      <c r="AG75" s="13"/>
      <c r="AH75" s="13"/>
      <c r="AI75" s="13"/>
      <c r="AJ75" s="13">
        <v>61</v>
      </c>
      <c r="AL75" s="23"/>
      <c r="AM75" s="31"/>
      <c r="AN75" s="31"/>
      <c r="AO75" s="635">
        <f>Absences26810126[[#This Row],[debut]]</f>
        <v>0</v>
      </c>
    </row>
    <row r="76" spans="1:41" x14ac:dyDescent="0.25">
      <c r="A76" s="13"/>
      <c r="B76" s="18"/>
      <c r="C76" s="613" t="s">
        <v>362</v>
      </c>
      <c r="D76" s="627" t="s">
        <v>803</v>
      </c>
      <c r="E76" s="18"/>
      <c r="F76" s="18"/>
      <c r="G76" s="18"/>
      <c r="H76" s="18"/>
      <c r="I76" s="18"/>
      <c r="J76" s="18"/>
      <c r="K76" s="18"/>
      <c r="L76" s="18"/>
      <c r="M76" s="18"/>
      <c r="N76" s="18"/>
      <c r="O76" s="18"/>
      <c r="P76" s="18"/>
      <c r="Q76" s="18"/>
      <c r="R76" s="18"/>
      <c r="S76" s="13"/>
      <c r="T76" s="13" t="s">
        <v>789</v>
      </c>
      <c r="U76" s="13"/>
      <c r="V76" s="13"/>
      <c r="W76" s="13"/>
      <c r="X76" s="13"/>
      <c r="Y76" s="13"/>
      <c r="Z76" s="13"/>
      <c r="AA76" s="13"/>
      <c r="AB76" s="13"/>
      <c r="AC76" s="13"/>
      <c r="AD76" s="13"/>
      <c r="AE76" s="13"/>
      <c r="AF76" s="13"/>
      <c r="AG76" s="13"/>
      <c r="AH76" s="13"/>
      <c r="AI76" s="13"/>
      <c r="AJ76" s="13">
        <v>62</v>
      </c>
      <c r="AL76" s="23"/>
      <c r="AM76" s="31"/>
      <c r="AN76" s="31"/>
      <c r="AO76" s="635">
        <f>Absences26810126[[#This Row],[debut]]</f>
        <v>0</v>
      </c>
    </row>
    <row r="77" spans="1:41" x14ac:dyDescent="0.25">
      <c r="A77" s="13"/>
      <c r="B77" s="18"/>
      <c r="C77" s="18"/>
      <c r="D77" s="18" t="s">
        <v>804</v>
      </c>
      <c r="E77" s="18"/>
      <c r="F77" s="18"/>
      <c r="G77" s="18"/>
      <c r="H77" s="18"/>
      <c r="I77" s="18"/>
      <c r="J77" s="18"/>
      <c r="K77" s="18"/>
      <c r="L77" s="18"/>
      <c r="M77" s="18"/>
      <c r="N77" s="18"/>
      <c r="O77" s="18"/>
      <c r="P77" s="18"/>
      <c r="Q77" s="18"/>
      <c r="R77" s="18"/>
      <c r="S77" s="13"/>
      <c r="T77" s="13" t="s">
        <v>790</v>
      </c>
      <c r="U77" s="13"/>
      <c r="V77" s="13"/>
      <c r="W77" s="13"/>
      <c r="X77" s="13"/>
      <c r="Y77" s="13"/>
      <c r="Z77" s="13"/>
      <c r="AA77" s="13"/>
      <c r="AB77" s="13"/>
      <c r="AC77" s="13"/>
      <c r="AD77" s="13"/>
      <c r="AE77" s="13"/>
      <c r="AF77" s="13"/>
      <c r="AG77" s="13"/>
      <c r="AH77" s="13"/>
      <c r="AI77" s="13"/>
      <c r="AJ77" s="13">
        <v>63</v>
      </c>
      <c r="AL77" s="23"/>
      <c r="AM77" s="31"/>
      <c r="AN77" s="31"/>
      <c r="AO77" s="635">
        <f>Absences26810126[[#This Row],[debut]]</f>
        <v>0</v>
      </c>
    </row>
    <row r="78" spans="1:41" x14ac:dyDescent="0.25">
      <c r="A78" s="13"/>
      <c r="B78" s="18"/>
      <c r="C78" s="18"/>
      <c r="D78" s="18"/>
      <c r="E78" s="18"/>
      <c r="F78" s="18"/>
      <c r="G78" s="18"/>
      <c r="H78" s="18"/>
      <c r="I78" s="18"/>
      <c r="J78" s="18"/>
      <c r="K78" s="18"/>
      <c r="L78" s="18"/>
      <c r="M78" s="18"/>
      <c r="N78" s="18"/>
      <c r="O78" s="18"/>
      <c r="P78" s="18"/>
      <c r="Q78" s="18"/>
      <c r="R78" s="18"/>
      <c r="S78" s="13"/>
      <c r="T78" s="13"/>
      <c r="U78" s="13"/>
      <c r="V78" s="13"/>
      <c r="W78" s="13"/>
      <c r="X78" s="13"/>
      <c r="Y78" s="13"/>
      <c r="Z78" s="13"/>
      <c r="AA78" s="13"/>
      <c r="AB78" s="13"/>
      <c r="AC78" s="13"/>
      <c r="AD78" s="13"/>
      <c r="AE78" s="13"/>
      <c r="AF78" s="13"/>
      <c r="AG78" s="13"/>
      <c r="AH78" s="13"/>
      <c r="AI78" s="13"/>
      <c r="AJ78" s="13">
        <v>64</v>
      </c>
      <c r="AL78" s="23"/>
      <c r="AM78" s="31"/>
      <c r="AN78" s="31"/>
      <c r="AO78" s="635">
        <f>Absences26810126[[#This Row],[debut]]</f>
        <v>0</v>
      </c>
    </row>
    <row r="79" spans="1:41" ht="15.75" customHeight="1" x14ac:dyDescent="0.25">
      <c r="A79" s="13"/>
      <c r="B79" s="622" t="s">
        <v>187</v>
      </c>
      <c r="C79" s="624" t="s">
        <v>808</v>
      </c>
      <c r="D79" s="18"/>
      <c r="E79" s="18"/>
      <c r="F79" s="18"/>
      <c r="G79" s="18"/>
      <c r="H79" s="18"/>
      <c r="I79" s="18"/>
      <c r="J79" s="18"/>
      <c r="K79" s="18"/>
      <c r="L79" s="18"/>
      <c r="M79" s="18"/>
      <c r="N79" s="18"/>
      <c r="O79" s="18"/>
      <c r="P79" s="18"/>
      <c r="Q79" s="18"/>
      <c r="R79" s="18"/>
      <c r="S79" s="13"/>
      <c r="T79" s="13"/>
      <c r="U79" s="13"/>
      <c r="V79" s="13"/>
      <c r="W79" s="13"/>
      <c r="X79" s="13"/>
      <c r="Y79" s="13"/>
      <c r="Z79" s="13"/>
      <c r="AA79" s="13"/>
      <c r="AB79" s="13"/>
      <c r="AC79" s="13"/>
      <c r="AD79" s="13"/>
      <c r="AE79" s="13"/>
      <c r="AF79" s="13"/>
      <c r="AG79" s="13"/>
      <c r="AH79" s="13"/>
      <c r="AI79" s="13"/>
      <c r="AJ79" s="13">
        <v>65</v>
      </c>
      <c r="AL79" s="23"/>
      <c r="AM79" s="31"/>
      <c r="AN79" s="31"/>
      <c r="AO79" s="635">
        <f>Absences26810126[[#This Row],[debut]]</f>
        <v>0</v>
      </c>
    </row>
    <row r="80" spans="1:41" ht="15.75" customHeight="1" x14ac:dyDescent="0.25">
      <c r="A80" s="13"/>
      <c r="B80" s="18"/>
      <c r="C80" s="615">
        <v>2020</v>
      </c>
      <c r="D80" s="18" t="s">
        <v>806</v>
      </c>
      <c r="E80" s="18"/>
      <c r="F80" s="18"/>
      <c r="G80" s="18"/>
      <c r="H80" s="18"/>
      <c r="I80" s="18"/>
      <c r="J80" s="18"/>
      <c r="K80" s="18"/>
      <c r="L80" s="18"/>
      <c r="M80" s="18"/>
      <c r="N80" s="18"/>
      <c r="O80" s="18"/>
      <c r="P80" s="18"/>
      <c r="Q80" s="18"/>
      <c r="R80" s="18"/>
      <c r="S80" s="13"/>
      <c r="T80" s="13"/>
      <c r="U80" s="13"/>
      <c r="V80" s="13"/>
      <c r="W80" s="13"/>
      <c r="X80" s="13"/>
      <c r="Y80" s="13"/>
      <c r="Z80" s="13"/>
      <c r="AA80" s="13"/>
      <c r="AB80" s="13"/>
      <c r="AC80" s="13"/>
      <c r="AD80" s="13"/>
      <c r="AE80" s="13"/>
      <c r="AF80" s="13"/>
      <c r="AG80" s="13"/>
      <c r="AH80" s="13"/>
      <c r="AI80" s="13"/>
      <c r="AJ80" s="13">
        <v>66</v>
      </c>
      <c r="AL80" s="23"/>
      <c r="AM80" s="31"/>
      <c r="AN80" s="31"/>
      <c r="AO80" s="635">
        <f>Absences26810126[[#This Row],[debut]]</f>
        <v>0</v>
      </c>
    </row>
    <row r="81" spans="1:41" ht="15.75" customHeight="1" x14ac:dyDescent="0.25">
      <c r="A81" s="13"/>
      <c r="B81" s="18"/>
      <c r="C81" s="1474" t="s">
        <v>5</v>
      </c>
      <c r="D81" s="1474"/>
      <c r="E81" s="18" t="s">
        <v>807</v>
      </c>
      <c r="F81" s="18"/>
      <c r="G81" s="18"/>
      <c r="H81" s="18"/>
      <c r="I81" s="18"/>
      <c r="J81" s="18"/>
      <c r="K81" s="18"/>
      <c r="L81" s="18"/>
      <c r="M81" s="18"/>
      <c r="N81" s="18"/>
      <c r="O81" s="18"/>
      <c r="P81" s="18"/>
      <c r="Q81" s="18"/>
      <c r="R81" s="18"/>
      <c r="S81" s="13"/>
      <c r="T81" s="13"/>
      <c r="U81" s="13"/>
      <c r="V81" s="13"/>
      <c r="W81" s="13"/>
      <c r="X81" s="13"/>
      <c r="Y81" s="13"/>
      <c r="Z81" s="13"/>
      <c r="AA81" s="13"/>
      <c r="AB81" s="13"/>
      <c r="AC81" s="13"/>
      <c r="AD81" s="13"/>
      <c r="AE81" s="13"/>
      <c r="AF81" s="13"/>
      <c r="AG81" s="13"/>
      <c r="AH81" s="13"/>
      <c r="AI81" s="13"/>
      <c r="AJ81" s="13">
        <v>67</v>
      </c>
      <c r="AL81" s="23"/>
      <c r="AM81" s="31"/>
      <c r="AN81" s="31"/>
      <c r="AO81" s="635">
        <f>Absences26810126[[#This Row],[debut]]</f>
        <v>0</v>
      </c>
    </row>
    <row r="82" spans="1:41" ht="18.75" x14ac:dyDescent="0.25">
      <c r="A82" s="13"/>
      <c r="B82" s="18"/>
      <c r="C82" s="1475" t="s">
        <v>36</v>
      </c>
      <c r="D82" s="1475"/>
      <c r="E82" s="18" t="s">
        <v>824</v>
      </c>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13"/>
      <c r="AH82" s="13"/>
      <c r="AI82" s="13"/>
      <c r="AJ82" s="13">
        <v>68</v>
      </c>
      <c r="AL82" s="23"/>
      <c r="AM82" s="31"/>
      <c r="AN82" s="31"/>
      <c r="AO82" s="635">
        <f>Absences26810126[[#This Row],[debut]]</f>
        <v>0</v>
      </c>
    </row>
    <row r="83" spans="1:41" ht="21" x14ac:dyDescent="0.25">
      <c r="A83" s="13"/>
      <c r="B83" s="18"/>
      <c r="C83" s="625" t="s">
        <v>810</v>
      </c>
      <c r="D83" s="18"/>
      <c r="E83" s="18"/>
      <c r="F83" s="18"/>
      <c r="G83" s="18"/>
      <c r="H83" s="18"/>
      <c r="I83" s="18"/>
      <c r="J83" s="18"/>
      <c r="K83" s="18"/>
      <c r="L83" s="18"/>
      <c r="M83" s="18"/>
      <c r="N83" s="18"/>
      <c r="O83" s="18"/>
      <c r="P83" s="18"/>
      <c r="Q83" s="18"/>
      <c r="R83" s="18"/>
      <c r="S83" s="13"/>
      <c r="T83" s="13"/>
      <c r="U83" s="13"/>
      <c r="V83" s="13"/>
      <c r="W83" s="13"/>
      <c r="X83" s="13"/>
      <c r="Y83" s="13"/>
      <c r="Z83" s="13"/>
      <c r="AA83" s="13"/>
      <c r="AB83" s="13"/>
      <c r="AC83" s="13"/>
      <c r="AD83" s="13"/>
      <c r="AE83" s="13"/>
      <c r="AF83" s="13"/>
      <c r="AG83" s="13"/>
      <c r="AH83" s="13"/>
      <c r="AI83" s="13"/>
      <c r="AJ83" s="13">
        <v>69</v>
      </c>
      <c r="AL83" s="23"/>
      <c r="AM83" s="31"/>
      <c r="AN83" s="31"/>
      <c r="AO83" s="635">
        <f>Absences26810126[[#This Row],[debut]]</f>
        <v>0</v>
      </c>
    </row>
    <row r="84" spans="1:41" x14ac:dyDescent="0.25">
      <c r="A84" s="13"/>
      <c r="B84" s="13" t="s">
        <v>135</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70</v>
      </c>
      <c r="AL84" s="23"/>
      <c r="AM84" s="31"/>
      <c r="AN84" s="31"/>
      <c r="AO84" s="635">
        <f>Absences26810126[[#This Row],[debut]]</f>
        <v>0</v>
      </c>
    </row>
    <row r="85" spans="1:41" x14ac:dyDescent="0.25">
      <c r="A85" s="13"/>
      <c r="B85" s="13" t="s">
        <v>136</v>
      </c>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v>71</v>
      </c>
      <c r="AL85" s="23"/>
      <c r="AM85" s="31"/>
      <c r="AN85" s="31"/>
      <c r="AO85" s="635">
        <f>Absences26810126[[#This Row],[debut]]</f>
        <v>0</v>
      </c>
    </row>
    <row r="86" spans="1:41" x14ac:dyDescent="0.25">
      <c r="A86" s="13"/>
      <c r="B86" s="13"/>
      <c r="C86" s="13" t="s">
        <v>36</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72</v>
      </c>
      <c r="AL86" s="23"/>
      <c r="AM86" s="31"/>
      <c r="AN86" s="31"/>
      <c r="AO86" s="635">
        <f>Absences26810126[[#This Row],[debut]]</f>
        <v>0</v>
      </c>
    </row>
    <row r="87" spans="1:41" x14ac:dyDescent="0.25">
      <c r="A87" s="13"/>
      <c r="B87" s="13"/>
      <c r="C87" s="13" t="s">
        <v>137</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73</v>
      </c>
      <c r="AL87" s="23"/>
      <c r="AM87" s="31"/>
      <c r="AN87" s="31"/>
      <c r="AO87" s="635">
        <f>Absences26810126[[#This Row],[debut]]</f>
        <v>0</v>
      </c>
    </row>
    <row r="88" spans="1:41" x14ac:dyDescent="0.25">
      <c r="A88" s="13"/>
      <c r="B88" s="13"/>
      <c r="C88" s="13" t="s">
        <v>138</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74</v>
      </c>
      <c r="AL88" s="23"/>
      <c r="AM88" s="31"/>
      <c r="AN88" s="31"/>
      <c r="AO88" s="635">
        <f>Absences26810126[[#This Row],[debut]]</f>
        <v>0</v>
      </c>
    </row>
    <row r="89" spans="1:41" x14ac:dyDescent="0.25">
      <c r="A89" s="13"/>
      <c r="B89" s="13"/>
      <c r="C89" s="45" t="s">
        <v>812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75</v>
      </c>
      <c r="AL89" s="23"/>
      <c r="AM89" s="31"/>
      <c r="AN89" s="31"/>
      <c r="AO89" s="635">
        <f>Absences26810126[[#This Row],[debut]]</f>
        <v>0</v>
      </c>
    </row>
    <row r="90" spans="1:4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v>76</v>
      </c>
      <c r="AL90" s="23"/>
      <c r="AM90" s="31"/>
      <c r="AN90" s="31"/>
      <c r="AO90" s="635">
        <f>Absences26810126[[#This Row],[debut]]</f>
        <v>0</v>
      </c>
    </row>
    <row r="91" spans="1:41" ht="21" x14ac:dyDescent="0.25">
      <c r="A91" s="13"/>
      <c r="B91" s="13"/>
      <c r="C91" s="625" t="s">
        <v>825</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77</v>
      </c>
      <c r="AL91" s="23"/>
      <c r="AM91" s="31"/>
      <c r="AN91" s="31"/>
      <c r="AO91" s="635">
        <f>Absences26810126[[#This Row],[debut]]</f>
        <v>0</v>
      </c>
    </row>
    <row r="92" spans="1:4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78</v>
      </c>
      <c r="AL92" s="23"/>
      <c r="AM92" s="31"/>
      <c r="AN92" s="31"/>
      <c r="AO92" s="635">
        <f>Absences26810126[[#This Row],[debut]]</f>
        <v>0</v>
      </c>
    </row>
    <row r="93" spans="1:4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79</v>
      </c>
      <c r="AL93" s="23"/>
      <c r="AM93" s="31"/>
      <c r="AN93" s="31"/>
      <c r="AO93" s="635">
        <f>Absences26810126[[#This Row],[debut]]</f>
        <v>0</v>
      </c>
    </row>
    <row r="94" spans="1:4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80</v>
      </c>
      <c r="AL94" s="23"/>
      <c r="AM94" s="31"/>
      <c r="AN94" s="31"/>
      <c r="AO94" s="635">
        <f>Absences26810126[[#This Row],[debut]]</f>
        <v>0</v>
      </c>
    </row>
    <row r="95" spans="1:4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v>81</v>
      </c>
      <c r="AL95" s="23"/>
      <c r="AM95" s="31"/>
      <c r="AN95" s="31"/>
      <c r="AO95" s="635">
        <f>Absences26810126[[#This Row],[debut]]</f>
        <v>0</v>
      </c>
    </row>
    <row r="96" spans="1:4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82</v>
      </c>
      <c r="AL96" s="23"/>
      <c r="AM96" s="31"/>
      <c r="AN96" s="31"/>
      <c r="AO96" s="635">
        <f>Absences26810126[[#This Row],[debut]]</f>
        <v>0</v>
      </c>
    </row>
    <row r="97" spans="1:4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83</v>
      </c>
      <c r="AL97" s="23"/>
      <c r="AM97" s="31"/>
      <c r="AN97" s="31"/>
      <c r="AO97" s="635">
        <f>Absences26810126[[#This Row],[debut]]</f>
        <v>0</v>
      </c>
    </row>
    <row r="98" spans="1:4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84</v>
      </c>
      <c r="AL98" s="23"/>
      <c r="AM98" s="31"/>
      <c r="AN98" s="31"/>
      <c r="AO98" s="635">
        <f>Absences26810126[[#This Row],[debut]]</f>
        <v>0</v>
      </c>
    </row>
    <row r="99" spans="1:4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85</v>
      </c>
      <c r="AL99" s="23"/>
      <c r="AM99" s="31"/>
      <c r="AN99" s="31"/>
      <c r="AO99" s="635">
        <f>Absences26810126[[#This Row],[debut]]</f>
        <v>0</v>
      </c>
    </row>
    <row r="100" spans="1:4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v>86</v>
      </c>
      <c r="AL100" s="23"/>
      <c r="AM100" s="31"/>
      <c r="AN100" s="31"/>
      <c r="AO100" s="635">
        <f>Absences26810126[[#This Row],[debut]]</f>
        <v>0</v>
      </c>
    </row>
    <row r="101" spans="1:4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87</v>
      </c>
      <c r="AL101" s="23"/>
      <c r="AM101" s="31"/>
      <c r="AN101" s="31"/>
      <c r="AO101" s="635">
        <f>Absences26810126[[#This Row],[debut]]</f>
        <v>0</v>
      </c>
    </row>
    <row r="102" spans="1:4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88</v>
      </c>
      <c r="AL102" s="23"/>
      <c r="AM102" s="31"/>
      <c r="AN102" s="31"/>
      <c r="AO102" s="635">
        <f>Absences26810126[[#This Row],[debut]]</f>
        <v>0</v>
      </c>
    </row>
    <row r="103" spans="1:4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89</v>
      </c>
      <c r="AL103" s="23"/>
      <c r="AM103" s="31"/>
      <c r="AN103" s="31"/>
      <c r="AO103" s="635">
        <f>Absences26810126[[#This Row],[debut]]</f>
        <v>0</v>
      </c>
    </row>
    <row r="104" spans="1:4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90</v>
      </c>
      <c r="AL104" s="23"/>
      <c r="AM104" s="31"/>
      <c r="AN104" s="31"/>
      <c r="AO104" s="635">
        <f>Absences26810126[[#This Row],[debut]]</f>
        <v>0</v>
      </c>
    </row>
    <row r="105" spans="1:4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v>91</v>
      </c>
      <c r="AL105" s="23"/>
      <c r="AM105" s="31"/>
      <c r="AN105" s="31"/>
      <c r="AO105" s="635">
        <f>Absences26810126[[#This Row],[debut]]</f>
        <v>0</v>
      </c>
    </row>
    <row r="106" spans="1:41" ht="21" x14ac:dyDescent="0.25">
      <c r="A106" s="13"/>
      <c r="B106" s="13"/>
      <c r="C106" s="625" t="s">
        <v>1046</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92</v>
      </c>
      <c r="AL106" s="23"/>
      <c r="AM106" s="31"/>
      <c r="AN106" s="31"/>
      <c r="AO106" s="635">
        <f>Absences26810126[[#This Row],[debut]]</f>
        <v>0</v>
      </c>
    </row>
    <row r="107" spans="1:4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93</v>
      </c>
      <c r="AL107" s="23"/>
      <c r="AM107" s="31"/>
      <c r="AN107" s="31"/>
      <c r="AO107" s="635">
        <f>Absences26810126[[#This Row],[debut]]</f>
        <v>0</v>
      </c>
    </row>
    <row r="108" spans="1:41" x14ac:dyDescent="0.25">
      <c r="A108" s="13"/>
      <c r="AJ108" s="13">
        <v>94</v>
      </c>
      <c r="AL108" s="23"/>
      <c r="AM108" s="31"/>
      <c r="AN108" s="31"/>
      <c r="AO108" s="635">
        <f>Absences26810126[[#This Row],[debut]]</f>
        <v>0</v>
      </c>
    </row>
    <row r="109" spans="1:41" x14ac:dyDescent="0.25">
      <c r="A109" s="13"/>
      <c r="AJ109" s="13">
        <v>95</v>
      </c>
      <c r="AL109" s="23"/>
      <c r="AM109" s="31"/>
      <c r="AN109" s="31"/>
      <c r="AO109" s="635">
        <f>Absences26810126[[#This Row],[debut]]</f>
        <v>0</v>
      </c>
    </row>
    <row r="110" spans="1:41" x14ac:dyDescent="0.25">
      <c r="A110" s="13"/>
      <c r="AJ110" s="13">
        <v>96</v>
      </c>
      <c r="AL110" s="23"/>
      <c r="AM110" s="31"/>
      <c r="AN110" s="31"/>
      <c r="AO110" s="635">
        <f>Absences26810126[[#This Row],[debut]]</f>
        <v>0</v>
      </c>
    </row>
    <row r="111" spans="1:41" x14ac:dyDescent="0.25">
      <c r="A111" s="13"/>
      <c r="AJ111" s="13">
        <v>97</v>
      </c>
      <c r="AL111" s="23"/>
      <c r="AM111" s="31"/>
      <c r="AN111" s="31"/>
      <c r="AO111" s="635">
        <f>Absences26810126[[#This Row],[debut]]</f>
        <v>0</v>
      </c>
    </row>
    <row r="112" spans="1:41" x14ac:dyDescent="0.25">
      <c r="A112" s="13"/>
      <c r="AJ112" s="13">
        <v>98</v>
      </c>
      <c r="AL112" s="23"/>
      <c r="AM112" s="31"/>
      <c r="AN112" s="31"/>
      <c r="AO112" s="635">
        <f>Absences26810126[[#This Row],[debut]]</f>
        <v>0</v>
      </c>
    </row>
    <row r="113" spans="1:41" x14ac:dyDescent="0.25">
      <c r="A113" s="13"/>
      <c r="AJ113" s="13">
        <v>99</v>
      </c>
      <c r="AL113" s="23"/>
      <c r="AM113" s="31"/>
      <c r="AN113" s="31"/>
      <c r="AO113" s="635">
        <f>Absences26810126[[#This Row],[debut]]</f>
        <v>0</v>
      </c>
    </row>
    <row r="114" spans="1:41" x14ac:dyDescent="0.25">
      <c r="A114" s="13"/>
      <c r="AJ114" s="13">
        <v>100</v>
      </c>
      <c r="AL114" s="23"/>
      <c r="AM114" s="31"/>
      <c r="AN114" s="31"/>
      <c r="AO114" s="635">
        <f>Absences26810126[[#This Row],[debut]]</f>
        <v>0</v>
      </c>
    </row>
    <row r="196" spans="44:44" x14ac:dyDescent="0.25">
      <c r="AR196" s="598" t="s">
        <v>7</v>
      </c>
    </row>
    <row r="197" spans="44:44" x14ac:dyDescent="0.25">
      <c r="AR197" s="599" t="s">
        <v>8</v>
      </c>
    </row>
    <row r="198" spans="44:44" x14ac:dyDescent="0.25">
      <c r="AR198" s="600" t="s">
        <v>368</v>
      </c>
    </row>
    <row r="199" spans="44:44" ht="18" x14ac:dyDescent="0.25">
      <c r="AR199" s="601" t="s">
        <v>7</v>
      </c>
    </row>
    <row r="200" spans="44:44" x14ac:dyDescent="0.25">
      <c r="AR200" s="602" t="s">
        <v>373</v>
      </c>
    </row>
    <row r="201" spans="44:44" x14ac:dyDescent="0.25">
      <c r="AR201" s="603" t="s">
        <v>354</v>
      </c>
    </row>
    <row r="202" spans="44:44" x14ac:dyDescent="0.25">
      <c r="AR202" s="604" t="s">
        <v>360</v>
      </c>
    </row>
    <row r="203" spans="44:44" x14ac:dyDescent="0.25">
      <c r="AR203" s="605" t="s">
        <v>362</v>
      </c>
    </row>
    <row r="204" spans="44:44" x14ac:dyDescent="0.25">
      <c r="AR204" s="596" t="s">
        <v>6</v>
      </c>
    </row>
    <row r="205" spans="44:44" x14ac:dyDescent="0.25">
      <c r="AR205" s="607" t="s">
        <v>799</v>
      </c>
    </row>
    <row r="206" spans="44:44" x14ac:dyDescent="0.25">
      <c r="AR206" s="604"/>
    </row>
    <row r="207" spans="44:44" x14ac:dyDescent="0.25">
      <c r="AR207" s="604"/>
    </row>
    <row r="208" spans="44:44" x14ac:dyDescent="0.25">
      <c r="AR208" s="606" t="s">
        <v>358</v>
      </c>
    </row>
  </sheetData>
  <mergeCells count="27">
    <mergeCell ref="BZ2:CE3"/>
    <mergeCell ref="BZ4:CB4"/>
    <mergeCell ref="CD4:CE4"/>
    <mergeCell ref="CD5:CE5"/>
    <mergeCell ref="BZ20:CB20"/>
    <mergeCell ref="AO10:AO11"/>
    <mergeCell ref="A1:AI1"/>
    <mergeCell ref="C44:AG44"/>
    <mergeCell ref="C49:AG49"/>
    <mergeCell ref="C54:AG54"/>
    <mergeCell ref="C2:G3"/>
    <mergeCell ref="I2:Q3"/>
    <mergeCell ref="U2:AG3"/>
    <mergeCell ref="I4:Q6"/>
    <mergeCell ref="C9:AG9"/>
    <mergeCell ref="C59:AG59"/>
    <mergeCell ref="AQ13:AR13"/>
    <mergeCell ref="C81:D81"/>
    <mergeCell ref="C82:D82"/>
    <mergeCell ref="C29:AG29"/>
    <mergeCell ref="AK13:AO13"/>
    <mergeCell ref="C14:AG14"/>
    <mergeCell ref="C19:AG19"/>
    <mergeCell ref="C24:AG24"/>
    <mergeCell ref="C64:AG64"/>
    <mergeCell ref="C34:AG34"/>
    <mergeCell ref="C39:AG39"/>
  </mergeCells>
  <conditionalFormatting sqref="C10:AG12">
    <cfRule type="expression" dxfId="741" priority="291">
      <formula>OR(C$11=1,C$11=7)</formula>
    </cfRule>
  </conditionalFormatting>
  <conditionalFormatting sqref="C12:AG12">
    <cfRule type="cellIs" dxfId="740" priority="287" operator="equal">
      <formula>"C"</formula>
    </cfRule>
    <cfRule type="cellIs" dxfId="739" priority="288" operator="equal">
      <formula>"M"</formula>
    </cfRule>
    <cfRule type="cellIs" dxfId="738" priority="289" operator="equal">
      <formula>"RTT"</formula>
    </cfRule>
    <cfRule type="cellIs" dxfId="737" priority="290" operator="equal">
      <formula>"C"</formula>
    </cfRule>
  </conditionalFormatting>
  <conditionalFormatting sqref="C15:AG17">
    <cfRule type="expression" dxfId="736" priority="286">
      <formula>OR(C$16=1,C$16=7)</formula>
    </cfRule>
  </conditionalFormatting>
  <conditionalFormatting sqref="C17:AG17">
    <cfRule type="cellIs" dxfId="735" priority="282" operator="equal">
      <formula>"C"</formula>
    </cfRule>
    <cfRule type="cellIs" dxfId="734" priority="283" operator="equal">
      <formula>"M"</formula>
    </cfRule>
    <cfRule type="cellIs" dxfId="733" priority="284" operator="equal">
      <formula>"RTT"</formula>
    </cfRule>
    <cfRule type="cellIs" dxfId="732" priority="285" operator="equal">
      <formula>"C"</formula>
    </cfRule>
  </conditionalFormatting>
  <conditionalFormatting sqref="C20:AG22">
    <cfRule type="expression" dxfId="731" priority="281">
      <formula>OR(C$21=1,C$21=7)</formula>
    </cfRule>
  </conditionalFormatting>
  <conditionalFormatting sqref="C22:AG22">
    <cfRule type="cellIs" dxfId="730" priority="277" operator="equal">
      <formula>"C"</formula>
    </cfRule>
    <cfRule type="cellIs" dxfId="729" priority="278" operator="equal">
      <formula>"M"</formula>
    </cfRule>
    <cfRule type="cellIs" dxfId="728" priority="279" operator="equal">
      <formula>"RTT"</formula>
    </cfRule>
    <cfRule type="cellIs" dxfId="727" priority="280" operator="equal">
      <formula>"C"</formula>
    </cfRule>
  </conditionalFormatting>
  <conditionalFormatting sqref="C25:AG27">
    <cfRule type="expression" dxfId="726" priority="276">
      <formula>OR(C$26=1,C$26=7)</formula>
    </cfRule>
  </conditionalFormatting>
  <conditionalFormatting sqref="C27:AG27">
    <cfRule type="cellIs" dxfId="725" priority="272" operator="equal">
      <formula>"C"</formula>
    </cfRule>
    <cfRule type="cellIs" dxfId="724" priority="273" operator="equal">
      <formula>"M"</formula>
    </cfRule>
    <cfRule type="cellIs" dxfId="723" priority="274" operator="equal">
      <formula>"RTT"</formula>
    </cfRule>
    <cfRule type="cellIs" dxfId="722" priority="275" operator="equal">
      <formula>"C"</formula>
    </cfRule>
  </conditionalFormatting>
  <conditionalFormatting sqref="C30:AG32">
    <cfRule type="expression" dxfId="721" priority="271">
      <formula>OR(C$31=1,C$31=7)</formula>
    </cfRule>
  </conditionalFormatting>
  <conditionalFormatting sqref="C32:AG32">
    <cfRule type="cellIs" dxfId="720" priority="267" operator="equal">
      <formula>"C"</formula>
    </cfRule>
    <cfRule type="cellIs" dxfId="719" priority="268" operator="equal">
      <formula>"M"</formula>
    </cfRule>
    <cfRule type="cellIs" dxfId="718" priority="269" operator="equal">
      <formula>"RTT"</formula>
    </cfRule>
    <cfRule type="cellIs" dxfId="717" priority="270" operator="equal">
      <formula>"C"</formula>
    </cfRule>
  </conditionalFormatting>
  <conditionalFormatting sqref="C35:AG37">
    <cfRule type="expression" dxfId="716" priority="266">
      <formula>OR(C$36=1,C$36=7)</formula>
    </cfRule>
  </conditionalFormatting>
  <conditionalFormatting sqref="C37:AG37">
    <cfRule type="cellIs" dxfId="715" priority="262" operator="equal">
      <formula>"C"</formula>
    </cfRule>
    <cfRule type="cellIs" dxfId="714" priority="263" operator="equal">
      <formula>"M"</formula>
    </cfRule>
    <cfRule type="cellIs" dxfId="713" priority="264" operator="equal">
      <formula>"RTT"</formula>
    </cfRule>
    <cfRule type="cellIs" dxfId="712" priority="265" operator="equal">
      <formula>"C"</formula>
    </cfRule>
  </conditionalFormatting>
  <conditionalFormatting sqref="C40:AG42">
    <cfRule type="expression" dxfId="711" priority="261">
      <formula>OR(C$41=1,C$41=7)</formula>
    </cfRule>
  </conditionalFormatting>
  <conditionalFormatting sqref="C42:AG42">
    <cfRule type="cellIs" dxfId="710" priority="257" operator="equal">
      <formula>"C"</formula>
    </cfRule>
    <cfRule type="cellIs" dxfId="709" priority="258" operator="equal">
      <formula>"M"</formula>
    </cfRule>
    <cfRule type="cellIs" dxfId="708" priority="259" operator="equal">
      <formula>"RTT"</formula>
    </cfRule>
    <cfRule type="cellIs" dxfId="707" priority="260" operator="equal">
      <formula>"C"</formula>
    </cfRule>
  </conditionalFormatting>
  <conditionalFormatting sqref="C45:AG47">
    <cfRule type="expression" dxfId="706" priority="256">
      <formula>OR(C$46=1,C$46=7)</formula>
    </cfRule>
  </conditionalFormatting>
  <conditionalFormatting sqref="C47:AG47">
    <cfRule type="cellIs" dxfId="705" priority="252" operator="equal">
      <formula>"C"</formula>
    </cfRule>
    <cfRule type="cellIs" dxfId="704" priority="253" operator="equal">
      <formula>"M"</formula>
    </cfRule>
    <cfRule type="cellIs" dxfId="703" priority="254" operator="equal">
      <formula>"RTT"</formula>
    </cfRule>
    <cfRule type="cellIs" dxfId="702" priority="255" operator="equal">
      <formula>"C"</formula>
    </cfRule>
  </conditionalFormatting>
  <conditionalFormatting sqref="C50:AG52">
    <cfRule type="expression" dxfId="701" priority="251">
      <formula>OR(C$51=1,C$51=7)</formula>
    </cfRule>
  </conditionalFormatting>
  <conditionalFormatting sqref="C52:AG52">
    <cfRule type="cellIs" dxfId="700" priority="247" operator="equal">
      <formula>"C"</formula>
    </cfRule>
    <cfRule type="cellIs" dxfId="699" priority="248" operator="equal">
      <formula>"M"</formula>
    </cfRule>
    <cfRule type="cellIs" dxfId="698" priority="249" operator="equal">
      <formula>"RTT"</formula>
    </cfRule>
    <cfRule type="cellIs" dxfId="697" priority="250" operator="equal">
      <formula>"C"</formula>
    </cfRule>
  </conditionalFormatting>
  <conditionalFormatting sqref="C55:AG57">
    <cfRule type="expression" dxfId="696" priority="246">
      <formula>OR(C$56=1,C$56=7)</formula>
    </cfRule>
  </conditionalFormatting>
  <conditionalFormatting sqref="C57:AG57">
    <cfRule type="cellIs" dxfId="695" priority="242" operator="equal">
      <formula>"C"</formula>
    </cfRule>
    <cfRule type="cellIs" dxfId="694" priority="243" operator="equal">
      <formula>"M"</formula>
    </cfRule>
    <cfRule type="cellIs" dxfId="693" priority="244" operator="equal">
      <formula>"RTT"</formula>
    </cfRule>
    <cfRule type="cellIs" dxfId="692" priority="245" operator="equal">
      <formula>"C"</formula>
    </cfRule>
  </conditionalFormatting>
  <conditionalFormatting sqref="C60:AG62">
    <cfRule type="expression" dxfId="691" priority="241">
      <formula>OR(C$61=1,C$61=7)</formula>
    </cfRule>
  </conditionalFormatting>
  <conditionalFormatting sqref="C62:AG62">
    <cfRule type="cellIs" dxfId="690" priority="237" operator="equal">
      <formula>"C"</formula>
    </cfRule>
    <cfRule type="cellIs" dxfId="689" priority="238" operator="equal">
      <formula>"M"</formula>
    </cfRule>
    <cfRule type="cellIs" dxfId="688" priority="239" operator="equal">
      <formula>"RTT"</formula>
    </cfRule>
    <cfRule type="cellIs" dxfId="687" priority="240" operator="equal">
      <formula>"C"</formula>
    </cfRule>
  </conditionalFormatting>
  <conditionalFormatting sqref="C65:AG67">
    <cfRule type="expression" dxfId="686" priority="236">
      <formula>OR(C$66=1,C$66=7)</formula>
    </cfRule>
  </conditionalFormatting>
  <conditionalFormatting sqref="C67:AG67">
    <cfRule type="cellIs" dxfId="685" priority="232" operator="equal">
      <formula>"C"</formula>
    </cfRule>
    <cfRule type="cellIs" dxfId="684" priority="233" operator="equal">
      <formula>"M"</formula>
    </cfRule>
    <cfRule type="cellIs" dxfId="683" priority="234" operator="equal">
      <formula>"RTT"</formula>
    </cfRule>
    <cfRule type="cellIs" dxfId="682" priority="235" operator="equal">
      <formula>"C"</formula>
    </cfRule>
  </conditionalFormatting>
  <conditionalFormatting sqref="AR196">
    <cfRule type="cellIs" dxfId="681" priority="152" operator="equal">
      <formula>"C"</formula>
    </cfRule>
    <cfRule type="cellIs" dxfId="680" priority="153" operator="equal">
      <formula>"M"</formula>
    </cfRule>
    <cfRule type="cellIs" dxfId="679" priority="154" operator="equal">
      <formula>"RTT"</formula>
    </cfRule>
    <cfRule type="cellIs" dxfId="678" priority="155" operator="equal">
      <formula>"C"</formula>
    </cfRule>
  </conditionalFormatting>
  <conditionalFormatting sqref="AR204">
    <cfRule type="expression" dxfId="677" priority="161">
      <formula>OR(#REF!=1,#REF!=7)</formula>
    </cfRule>
  </conditionalFormatting>
  <conditionalFormatting sqref="AR204">
    <cfRule type="cellIs" dxfId="676" priority="157" operator="equal">
      <formula>"C"</formula>
    </cfRule>
    <cfRule type="cellIs" dxfId="675" priority="158" operator="equal">
      <formula>"M"</formula>
    </cfRule>
    <cfRule type="cellIs" dxfId="674" priority="159" operator="equal">
      <formula>"RTT"</formula>
    </cfRule>
    <cfRule type="cellIs" dxfId="673" priority="160" operator="equal">
      <formula>"C"</formula>
    </cfRule>
  </conditionalFormatting>
  <conditionalFormatting sqref="AR196">
    <cfRule type="expression" dxfId="672" priority="156">
      <formula>OR(#REF!=1,#REF!=7)</formula>
    </cfRule>
  </conditionalFormatting>
  <conditionalFormatting sqref="C12:AG12 C17:AG17 C22:AG22 C27:AG27 C32:AG32 C37:AG37 C42:AG42 C47:AG47 C52:AG52 C57:AG57 C62:AG62 C67:AG67">
    <cfRule type="cellIs" dxfId="671" priority="142" operator="equal">
      <formula>"Aap"</formula>
    </cfRule>
    <cfRule type="cellIs" dxfId="670" priority="143" operator="equal">
      <formula>"D ? !"</formula>
    </cfRule>
    <cfRule type="cellIs" dxfId="669" priority="144" operator="equal">
      <formula>"Cp"</formula>
    </cfRule>
    <cfRule type="cellIs" dxfId="668" priority="145" operator="equal">
      <formula>"RH"</formula>
    </cfRule>
    <cfRule type="cellIs" dxfId="667" priority="146" operator="equal">
      <formula>"AT"</formula>
    </cfRule>
  </conditionalFormatting>
  <conditionalFormatting sqref="AR20">
    <cfRule type="cellIs" dxfId="666" priority="122" operator="equal">
      <formula>"C"</formula>
    </cfRule>
    <cfRule type="cellIs" dxfId="665" priority="123" operator="equal">
      <formula>"M"</formula>
    </cfRule>
    <cfRule type="cellIs" dxfId="664" priority="124" operator="equal">
      <formula>"RTT"</formula>
    </cfRule>
    <cfRule type="cellIs" dxfId="663" priority="125" operator="equal">
      <formula>"C"</formula>
    </cfRule>
  </conditionalFormatting>
  <conditionalFormatting sqref="AR20">
    <cfRule type="expression" dxfId="662" priority="126">
      <formula>OR(#REF!=1,#REF!=7)</formula>
    </cfRule>
  </conditionalFormatting>
  <conditionalFormatting sqref="AI20">
    <cfRule type="cellIs" dxfId="661" priority="67" operator="equal">
      <formula>"C"</formula>
    </cfRule>
    <cfRule type="cellIs" dxfId="660" priority="68" operator="equal">
      <formula>"M"</formula>
    </cfRule>
    <cfRule type="cellIs" dxfId="659" priority="69" operator="equal">
      <formula>"RTT"</formula>
    </cfRule>
    <cfRule type="cellIs" dxfId="658" priority="70" operator="equal">
      <formula>"C"</formula>
    </cfRule>
  </conditionalFormatting>
  <conditionalFormatting sqref="AI15">
    <cfRule type="cellIs" dxfId="657" priority="72" operator="equal">
      <formula>"C"</formula>
    </cfRule>
    <cfRule type="cellIs" dxfId="656" priority="73" operator="equal">
      <formula>"M"</formula>
    </cfRule>
    <cfRule type="cellIs" dxfId="655" priority="74" operator="equal">
      <formula>"RTT"</formula>
    </cfRule>
    <cfRule type="cellIs" dxfId="654" priority="75" operator="equal">
      <formula>"C"</formula>
    </cfRule>
  </conditionalFormatting>
  <conditionalFormatting sqref="AI15">
    <cfRule type="expression" dxfId="653" priority="76">
      <formula>OR(#REF!=1,#REF!=7)</formula>
    </cfRule>
  </conditionalFormatting>
  <conditionalFormatting sqref="AI65">
    <cfRule type="cellIs" dxfId="652" priority="22" operator="equal">
      <formula>"C"</formula>
    </cfRule>
    <cfRule type="cellIs" dxfId="651" priority="23" operator="equal">
      <formula>"M"</formula>
    </cfRule>
    <cfRule type="cellIs" dxfId="650" priority="24" operator="equal">
      <formula>"RTT"</formula>
    </cfRule>
    <cfRule type="cellIs" dxfId="649" priority="25" operator="equal">
      <formula>"C"</formula>
    </cfRule>
  </conditionalFormatting>
  <conditionalFormatting sqref="AI20">
    <cfRule type="expression" dxfId="648" priority="71">
      <formula>OR(#REF!=1,#REF!=7)</formula>
    </cfRule>
  </conditionalFormatting>
  <conditionalFormatting sqref="AL20">
    <cfRule type="cellIs" dxfId="647" priority="102" operator="equal">
      <formula>"C"</formula>
    </cfRule>
    <cfRule type="cellIs" dxfId="646" priority="103" operator="equal">
      <formula>"M"</formula>
    </cfRule>
    <cfRule type="cellIs" dxfId="645" priority="104" operator="equal">
      <formula>"RTT"</formula>
    </cfRule>
    <cfRule type="cellIs" dxfId="644" priority="105" operator="equal">
      <formula>"C"</formula>
    </cfRule>
  </conditionalFormatting>
  <conditionalFormatting sqref="AL20">
    <cfRule type="expression" dxfId="643" priority="106">
      <formula>OR(#REF!=1,#REF!=7)</formula>
    </cfRule>
  </conditionalFormatting>
  <conditionalFormatting sqref="AL28">
    <cfRule type="cellIs" dxfId="642" priority="97" operator="equal">
      <formula>"C"</formula>
    </cfRule>
    <cfRule type="cellIs" dxfId="641" priority="98" operator="equal">
      <formula>"M"</formula>
    </cfRule>
    <cfRule type="cellIs" dxfId="640" priority="99" operator="equal">
      <formula>"RTT"</formula>
    </cfRule>
    <cfRule type="cellIs" dxfId="639" priority="100" operator="equal">
      <formula>"C"</formula>
    </cfRule>
  </conditionalFormatting>
  <conditionalFormatting sqref="AL28">
    <cfRule type="expression" dxfId="638" priority="101">
      <formula>OR(#REF!=1,#REF!=7)</formula>
    </cfRule>
  </conditionalFormatting>
  <conditionalFormatting sqref="AI10">
    <cfRule type="cellIs" dxfId="637" priority="77" operator="equal">
      <formula>"C"</formula>
    </cfRule>
    <cfRule type="cellIs" dxfId="636" priority="78" operator="equal">
      <formula>"M"</formula>
    </cfRule>
    <cfRule type="cellIs" dxfId="635" priority="79" operator="equal">
      <formula>"RTT"</formula>
    </cfRule>
    <cfRule type="cellIs" dxfId="634" priority="80" operator="equal">
      <formula>"C"</formula>
    </cfRule>
  </conditionalFormatting>
  <conditionalFormatting sqref="AI60">
    <cfRule type="cellIs" dxfId="633" priority="27" operator="equal">
      <formula>"C"</formula>
    </cfRule>
    <cfRule type="cellIs" dxfId="632" priority="28" operator="equal">
      <formula>"M"</formula>
    </cfRule>
    <cfRule type="cellIs" dxfId="631" priority="29" operator="equal">
      <formula>"RTT"</formula>
    </cfRule>
    <cfRule type="cellIs" dxfId="630" priority="30" operator="equal">
      <formula>"C"</formula>
    </cfRule>
  </conditionalFormatting>
  <conditionalFormatting sqref="C7">
    <cfRule type="cellIs" dxfId="629" priority="17" operator="equal">
      <formula>"C"</formula>
    </cfRule>
    <cfRule type="cellIs" dxfId="628" priority="18" operator="equal">
      <formula>"M"</formula>
    </cfRule>
    <cfRule type="cellIs" dxfId="627" priority="19" operator="equal">
      <formula>"RTT"</formula>
    </cfRule>
    <cfRule type="cellIs" dxfId="626" priority="20" operator="equal">
      <formula>"C"</formula>
    </cfRule>
  </conditionalFormatting>
  <conditionalFormatting sqref="AI55">
    <cfRule type="cellIs" dxfId="625" priority="32" operator="equal">
      <formula>"C"</formula>
    </cfRule>
    <cfRule type="cellIs" dxfId="624" priority="33" operator="equal">
      <formula>"M"</formula>
    </cfRule>
    <cfRule type="cellIs" dxfId="623" priority="34" operator="equal">
      <formula>"RTT"</formula>
    </cfRule>
    <cfRule type="cellIs" dxfId="622" priority="35" operator="equal">
      <formula>"C"</formula>
    </cfRule>
  </conditionalFormatting>
  <conditionalFormatting sqref="AI10">
    <cfRule type="expression" dxfId="621" priority="81">
      <formula>OR(#REF!=1,#REF!=7)</formula>
    </cfRule>
  </conditionalFormatting>
  <conditionalFormatting sqref="AI60">
    <cfRule type="expression" dxfId="620" priority="31">
      <formula>OR(#REF!=1,#REF!=7)</formula>
    </cfRule>
  </conditionalFormatting>
  <conditionalFormatting sqref="AI65">
    <cfRule type="expression" dxfId="619" priority="26">
      <formula>OR(#REF!=1,#REF!=7)</formula>
    </cfRule>
  </conditionalFormatting>
  <conditionalFormatting sqref="AI25">
    <cfRule type="cellIs" dxfId="618" priority="62" operator="equal">
      <formula>"C"</formula>
    </cfRule>
    <cfRule type="cellIs" dxfId="617" priority="63" operator="equal">
      <formula>"M"</formula>
    </cfRule>
    <cfRule type="cellIs" dxfId="616" priority="64" operator="equal">
      <formula>"RTT"</formula>
    </cfRule>
    <cfRule type="cellIs" dxfId="615" priority="65" operator="equal">
      <formula>"C"</formula>
    </cfRule>
  </conditionalFormatting>
  <conditionalFormatting sqref="AI25">
    <cfRule type="expression" dxfId="614" priority="66">
      <formula>OR(#REF!=1,#REF!=7)</formula>
    </cfRule>
  </conditionalFormatting>
  <conditionalFormatting sqref="AI30">
    <cfRule type="cellIs" dxfId="613" priority="57" operator="equal">
      <formula>"C"</formula>
    </cfRule>
    <cfRule type="cellIs" dxfId="612" priority="58" operator="equal">
      <formula>"M"</formula>
    </cfRule>
    <cfRule type="cellIs" dxfId="611" priority="59" operator="equal">
      <formula>"RTT"</formula>
    </cfRule>
    <cfRule type="cellIs" dxfId="610" priority="60" operator="equal">
      <formula>"C"</formula>
    </cfRule>
  </conditionalFormatting>
  <conditionalFormatting sqref="AI30">
    <cfRule type="expression" dxfId="609" priority="61">
      <formula>OR(#REF!=1,#REF!=7)</formula>
    </cfRule>
  </conditionalFormatting>
  <conditionalFormatting sqref="AI35">
    <cfRule type="cellIs" dxfId="608" priority="52" operator="equal">
      <formula>"C"</formula>
    </cfRule>
    <cfRule type="cellIs" dxfId="607" priority="53" operator="equal">
      <formula>"M"</formula>
    </cfRule>
    <cfRule type="cellIs" dxfId="606" priority="54" operator="equal">
      <formula>"RTT"</formula>
    </cfRule>
    <cfRule type="cellIs" dxfId="605" priority="55" operator="equal">
      <formula>"C"</formula>
    </cfRule>
  </conditionalFormatting>
  <conditionalFormatting sqref="AI35">
    <cfRule type="expression" dxfId="604" priority="56">
      <formula>OR(#REF!=1,#REF!=7)</formula>
    </cfRule>
  </conditionalFormatting>
  <conditionalFormatting sqref="AI40">
    <cfRule type="cellIs" dxfId="603" priority="47" operator="equal">
      <formula>"C"</formula>
    </cfRule>
    <cfRule type="cellIs" dxfId="602" priority="48" operator="equal">
      <formula>"M"</formula>
    </cfRule>
    <cfRule type="cellIs" dxfId="601" priority="49" operator="equal">
      <formula>"RTT"</formula>
    </cfRule>
    <cfRule type="cellIs" dxfId="600" priority="50" operator="equal">
      <formula>"C"</formula>
    </cfRule>
  </conditionalFormatting>
  <conditionalFormatting sqref="AI40">
    <cfRule type="expression" dxfId="599" priority="51">
      <formula>OR(#REF!=1,#REF!=7)</formula>
    </cfRule>
  </conditionalFormatting>
  <conditionalFormatting sqref="AI45">
    <cfRule type="cellIs" dxfId="598" priority="42" operator="equal">
      <formula>"C"</formula>
    </cfRule>
    <cfRule type="cellIs" dxfId="597" priority="43" operator="equal">
      <formula>"M"</formula>
    </cfRule>
    <cfRule type="cellIs" dxfId="596" priority="44" operator="equal">
      <formula>"RTT"</formula>
    </cfRule>
    <cfRule type="cellIs" dxfId="595" priority="45" operator="equal">
      <formula>"C"</formula>
    </cfRule>
  </conditionalFormatting>
  <conditionalFormatting sqref="AI45">
    <cfRule type="expression" dxfId="594" priority="46">
      <formula>OR(#REF!=1,#REF!=7)</formula>
    </cfRule>
  </conditionalFormatting>
  <conditionalFormatting sqref="AI50">
    <cfRule type="cellIs" dxfId="593" priority="37" operator="equal">
      <formula>"C"</formula>
    </cfRule>
    <cfRule type="cellIs" dxfId="592" priority="38" operator="equal">
      <formula>"M"</formula>
    </cfRule>
    <cfRule type="cellIs" dxfId="591" priority="39" operator="equal">
      <formula>"RTT"</formula>
    </cfRule>
    <cfRule type="cellIs" dxfId="590" priority="40" operator="equal">
      <formula>"C"</formula>
    </cfRule>
  </conditionalFormatting>
  <conditionalFormatting sqref="AI50">
    <cfRule type="expression" dxfId="589" priority="41">
      <formula>OR(#REF!=1,#REF!=7)</formula>
    </cfRule>
  </conditionalFormatting>
  <conditionalFormatting sqref="AI55">
    <cfRule type="expression" dxfId="588" priority="36">
      <formula>OR(#REF!=1,#REF!=7)</formula>
    </cfRule>
  </conditionalFormatting>
  <conditionalFormatting sqref="C7">
    <cfRule type="expression" dxfId="587" priority="21">
      <formula>OR(#REF!=1,#REF!=7)</formula>
    </cfRule>
  </conditionalFormatting>
  <conditionalFormatting sqref="CA21:CA34">
    <cfRule type="expression" dxfId="586" priority="13" stopIfTrue="1">
      <formula>WEEKDAY(CA21,2)=6</formula>
    </cfRule>
    <cfRule type="expression" dxfId="585" priority="14" stopIfTrue="1">
      <formula>WEEKDAY(CA21,2)=7</formula>
    </cfRule>
  </conditionalFormatting>
  <conditionalFormatting sqref="CA5:CA18">
    <cfRule type="expression" dxfId="584" priority="15" stopIfTrue="1">
      <formula>WEEKDAY(CA5,2)=6</formula>
    </cfRule>
    <cfRule type="expression" dxfId="583" priority="16" stopIfTrue="1">
      <formula>WEEKDAY(CA5,2)=7</formula>
    </cfRule>
  </conditionalFormatting>
  <conditionalFormatting sqref="C10:AG11">
    <cfRule type="expression" dxfId="582" priority="534">
      <formula>C$8=VLOOKUP(C$8,$BZ$5:$CA$18,2,0)</formula>
    </cfRule>
  </conditionalFormatting>
  <conditionalFormatting sqref="C15:AG16">
    <cfRule type="expression" dxfId="581" priority="11">
      <formula>C$13=VLOOKUP(C$13,$BZ$5:$CA$18,2,0)</formula>
    </cfRule>
  </conditionalFormatting>
  <conditionalFormatting sqref="C20:AG21">
    <cfRule type="expression" dxfId="580" priority="10">
      <formula>C$18=VLOOKUP(C$18,$BZ$5:$CA$18,2,0)</formula>
    </cfRule>
  </conditionalFormatting>
  <conditionalFormatting sqref="C25:AG26">
    <cfRule type="expression" dxfId="579" priority="9">
      <formula>C$23=VLOOKUP(C$23,$BZ$5:$CA$18,2,0)</formula>
    </cfRule>
  </conditionalFormatting>
  <conditionalFormatting sqref="C30:AG31">
    <cfRule type="expression" dxfId="578" priority="8">
      <formula>C$28=VLOOKUP(C$28,$BZ$5:$CA$18,2,0)</formula>
    </cfRule>
  </conditionalFormatting>
  <conditionalFormatting sqref="C35:AG36">
    <cfRule type="expression" dxfId="577" priority="7">
      <formula>C$33=VLOOKUP(C$33,$BZ$5:$CA$18,2,0)</formula>
    </cfRule>
  </conditionalFormatting>
  <conditionalFormatting sqref="C40:AG41">
    <cfRule type="expression" dxfId="576" priority="6">
      <formula>C$38=VLOOKUP(C$38,$BZ$5:$CA$18,2,0)</formula>
    </cfRule>
  </conditionalFormatting>
  <conditionalFormatting sqref="C45:AG46">
    <cfRule type="expression" dxfId="575" priority="5">
      <formula>C$43=VLOOKUP(C$43,$BZ$5:$CA$18,2,0)</formula>
    </cfRule>
  </conditionalFormatting>
  <conditionalFormatting sqref="C50:AG51">
    <cfRule type="expression" dxfId="574" priority="4">
      <formula>C$48=VLOOKUP(C$48,$BZ$5:$CA$18,2,0)</formula>
    </cfRule>
  </conditionalFormatting>
  <conditionalFormatting sqref="C55:AG56">
    <cfRule type="expression" dxfId="573" priority="3">
      <formula>C$53=VLOOKUP(C$53,$BZ$5:$CA$18,2,0)</formula>
    </cfRule>
  </conditionalFormatting>
  <conditionalFormatting sqref="C60:AG61">
    <cfRule type="expression" dxfId="572" priority="2">
      <formula>C$58=VLOOKUP(C$58,$BZ$5:$CA$18,2,0)</formula>
    </cfRule>
  </conditionalFormatting>
  <conditionalFormatting sqref="C65:AG66">
    <cfRule type="expression" dxfId="571" priority="1">
      <formula>C$63=VLOOKUP(C$63,$BZ$5:$CA$18,2,0)</formula>
    </cfRule>
  </conditionalFormatting>
  <dataValidations count="1">
    <dataValidation type="list" allowBlank="1" showInputMessage="1" showErrorMessage="1" sqref="M74:N74 AL29:AL114" xr:uid="{B8EC9B9A-0B6B-47C7-BFB6-3460D5562991}">
      <formula1>$I$3:$I$3</formula1>
    </dataValidation>
  </dataValidations>
  <hyperlinks>
    <hyperlink ref="U5" r:id="rId1" xr:uid="{B2DAE515-7B4B-4465-A8C9-3B572B271823}"/>
  </hyperlinks>
  <pageMargins left="0.7" right="0.7" top="0.75" bottom="0.75" header="0.3" footer="0.3"/>
  <pageSetup paperSize="9" orientation="portrait" r:id="rId2"/>
  <drawing r:id="rId3"/>
  <legacyDrawing r:id="rId4"/>
  <tableParts count="2">
    <tablePart r:id="rId5"/>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204A-3016-43ED-B2F4-40BC3471371C}">
  <sheetPr codeName="Feuil6"/>
  <dimension ref="A1:CE238"/>
  <sheetViews>
    <sheetView zoomScaleNormal="100" workbookViewId="0">
      <selection activeCell="J13" sqref="J13"/>
    </sheetView>
  </sheetViews>
  <sheetFormatPr baseColWidth="10" defaultRowHeight="15.75" x14ac:dyDescent="0.25"/>
  <cols>
    <col min="1" max="1" width="3.625" customWidth="1"/>
    <col min="3" max="33" width="5.625" customWidth="1"/>
    <col min="40" max="40" width="15.125" customWidth="1"/>
    <col min="41" max="41" width="14.125" customWidth="1"/>
    <col min="43" max="43" width="27.375" customWidth="1"/>
    <col min="44" max="44" width="9.75" customWidth="1"/>
    <col min="47" max="49" width="9.375" style="58" customWidth="1"/>
    <col min="50" max="50" width="3.625" style="58" customWidth="1"/>
    <col min="51" max="57" width="9.375" style="58" customWidth="1"/>
    <col min="58" max="58" width="32.25" style="58" customWidth="1"/>
    <col min="60" max="60" width="3" style="289" customWidth="1"/>
    <col min="61" max="61" width="8.25" style="289" customWidth="1"/>
    <col min="62" max="62" width="7.625" style="289" customWidth="1"/>
    <col min="63" max="63" width="12.125" style="289" customWidth="1"/>
    <col min="64" max="64" width="11.875" style="289" customWidth="1"/>
    <col min="65" max="69" width="7.625" style="289" customWidth="1"/>
    <col min="70" max="70" width="8.75" style="289" customWidth="1"/>
    <col min="71" max="71" width="7.875" style="289" customWidth="1"/>
    <col min="72" max="72" width="4" style="289" customWidth="1"/>
    <col min="73" max="73" width="12.5" style="289" customWidth="1"/>
    <col min="74" max="74" width="13.375" style="289" customWidth="1"/>
    <col min="75" max="75" width="3.625" style="289" customWidth="1"/>
    <col min="78" max="78" width="17.5" customWidth="1"/>
    <col min="79" max="79" width="42.25" customWidth="1"/>
    <col min="80" max="80" width="27.75" customWidth="1"/>
    <col min="82" max="82" width="18" customWidth="1"/>
    <col min="83" max="83" width="21.625" customWidth="1"/>
  </cols>
  <sheetData>
    <row r="1" spans="1:83" ht="23.25" x14ac:dyDescent="0.25">
      <c r="A1" s="1483" t="s">
        <v>680</v>
      </c>
      <c r="B1" s="1484"/>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5"/>
      <c r="AJ1" s="13"/>
      <c r="AK1" s="672" t="s">
        <v>841</v>
      </c>
      <c r="AL1" s="13"/>
      <c r="AM1" s="13"/>
      <c r="AN1" s="13"/>
      <c r="AO1" s="13"/>
      <c r="AP1" s="13"/>
      <c r="AQ1" s="13"/>
      <c r="AR1" s="13"/>
      <c r="AS1" s="13"/>
      <c r="AT1" s="13"/>
    </row>
    <row r="2" spans="1:83" ht="23.25" customHeight="1" x14ac:dyDescent="0.25">
      <c r="A2" s="13"/>
      <c r="B2" s="13"/>
      <c r="C2" s="1467">
        <v>2020</v>
      </c>
      <c r="D2" s="1467"/>
      <c r="E2" s="1467"/>
      <c r="F2" s="1467"/>
      <c r="G2" s="1467"/>
      <c r="H2" s="13"/>
      <c r="I2" s="1487" t="s">
        <v>831</v>
      </c>
      <c r="J2" s="1487"/>
      <c r="K2" s="1487"/>
      <c r="L2" s="1487"/>
      <c r="M2" s="1487"/>
      <c r="N2" s="1487"/>
      <c r="O2" s="1487"/>
      <c r="P2" s="1487"/>
      <c r="Q2" s="1487"/>
      <c r="R2" s="34"/>
      <c r="S2" s="13"/>
      <c r="T2" s="13"/>
      <c r="U2" s="1488" t="s">
        <v>4</v>
      </c>
      <c r="V2" s="1488"/>
      <c r="W2" s="1488"/>
      <c r="X2" s="1488"/>
      <c r="Y2" s="1488"/>
      <c r="Z2" s="1488"/>
      <c r="AA2" s="1488"/>
      <c r="AB2" s="1488"/>
      <c r="AC2" s="1488"/>
      <c r="AD2" s="1488"/>
      <c r="AE2" s="1488"/>
      <c r="AF2" s="1488"/>
      <c r="AG2" s="1488"/>
      <c r="AH2" s="13"/>
      <c r="AI2" s="36"/>
      <c r="AJ2" s="13"/>
      <c r="AK2" s="44" t="s">
        <v>832</v>
      </c>
      <c r="AL2" s="13"/>
      <c r="AM2" s="13"/>
      <c r="AN2" s="13"/>
      <c r="AO2" s="13"/>
      <c r="AP2" s="13"/>
      <c r="AQ2" s="13"/>
      <c r="AR2" s="13"/>
      <c r="AS2" s="13"/>
      <c r="AT2" s="13"/>
      <c r="AU2" s="1502" t="s">
        <v>149</v>
      </c>
      <c r="AV2" s="1503"/>
      <c r="AW2" s="1503"/>
      <c r="AX2" s="1503"/>
      <c r="AY2" s="1503"/>
      <c r="AZ2" s="1503"/>
      <c r="BA2" s="1503"/>
      <c r="BB2" s="1503"/>
      <c r="BC2" s="1503"/>
      <c r="BD2" s="65"/>
      <c r="BE2" s="74" t="s">
        <v>57</v>
      </c>
      <c r="BF2" s="1089">
        <f ca="1">NOW()</f>
        <v>44232.80612465278</v>
      </c>
      <c r="BH2" s="1090" t="s">
        <v>680</v>
      </c>
      <c r="BI2" s="1091"/>
      <c r="BJ2" s="1092"/>
      <c r="BK2" s="1092"/>
      <c r="BL2" s="1092"/>
      <c r="BM2" s="1092"/>
      <c r="BN2" s="1092"/>
      <c r="BO2" s="1092"/>
      <c r="BP2" s="1092"/>
      <c r="BQ2" s="1092"/>
      <c r="BR2" s="1092"/>
      <c r="BS2" s="1092"/>
      <c r="BT2" s="1092"/>
      <c r="BU2" s="1092"/>
      <c r="BV2" s="1092"/>
      <c r="BW2" s="1093"/>
      <c r="BZ2" s="1489" t="s">
        <v>892</v>
      </c>
      <c r="CA2" s="1489"/>
      <c r="CB2" s="1489"/>
      <c r="CC2" s="1489"/>
      <c r="CD2" s="1489"/>
      <c r="CE2" s="1489"/>
    </row>
    <row r="3" spans="1:83" ht="15.75" customHeight="1" x14ac:dyDescent="0.25">
      <c r="A3" s="13"/>
      <c r="B3" s="13"/>
      <c r="C3" s="1467"/>
      <c r="D3" s="1467"/>
      <c r="E3" s="1467"/>
      <c r="F3" s="1467"/>
      <c r="G3" s="1467"/>
      <c r="H3" s="13"/>
      <c r="I3" s="1487"/>
      <c r="J3" s="1487"/>
      <c r="K3" s="1487"/>
      <c r="L3" s="1487"/>
      <c r="M3" s="1487"/>
      <c r="N3" s="1487"/>
      <c r="O3" s="1487"/>
      <c r="P3" s="1487"/>
      <c r="Q3" s="1487"/>
      <c r="R3" s="34"/>
      <c r="S3" s="13"/>
      <c r="T3" s="13"/>
      <c r="U3" s="1488"/>
      <c r="V3" s="1488"/>
      <c r="W3" s="1488"/>
      <c r="X3" s="1488"/>
      <c r="Y3" s="1488"/>
      <c r="Z3" s="1488"/>
      <c r="AA3" s="1488"/>
      <c r="AB3" s="1488"/>
      <c r="AC3" s="1488"/>
      <c r="AD3" s="1488"/>
      <c r="AE3" s="1488"/>
      <c r="AF3" s="1488"/>
      <c r="AG3" s="1488"/>
      <c r="AH3" s="13"/>
      <c r="AI3" s="36"/>
      <c r="AJ3" s="13"/>
      <c r="AK3" s="44" t="s">
        <v>489</v>
      </c>
      <c r="AL3" s="13"/>
      <c r="AM3" s="13"/>
      <c r="AN3" s="13"/>
      <c r="AO3" s="13"/>
      <c r="AP3" s="13"/>
      <c r="AQ3" s="13"/>
      <c r="AR3" s="13"/>
      <c r="AS3" s="13"/>
      <c r="AT3" s="13"/>
      <c r="AU3" s="47"/>
      <c r="AV3" s="47"/>
      <c r="AW3" s="47"/>
      <c r="AX3" s="47"/>
      <c r="AY3" s="47"/>
      <c r="AZ3" s="48"/>
      <c r="BA3" s="48"/>
      <c r="BB3" s="48"/>
      <c r="BC3" s="56"/>
      <c r="BD3" s="56"/>
      <c r="BE3" s="56"/>
      <c r="BF3" s="56"/>
      <c r="BH3" s="274" t="s">
        <v>506</v>
      </c>
      <c r="BI3" s="275"/>
      <c r="BJ3" s="1080" t="s">
        <v>650</v>
      </c>
      <c r="BK3" s="1080"/>
      <c r="BL3" s="1080"/>
      <c r="BM3" s="1080"/>
      <c r="BN3" s="1081"/>
      <c r="BO3" s="276" t="s">
        <v>507</v>
      </c>
      <c r="BP3" s="277"/>
      <c r="BQ3" s="683"/>
      <c r="BR3" s="1080" t="s">
        <v>683</v>
      </c>
      <c r="BS3" s="1080"/>
      <c r="BT3" s="1080"/>
      <c r="BU3" s="1080"/>
      <c r="BV3" s="1080"/>
      <c r="BW3" s="1084"/>
      <c r="BZ3" s="1489"/>
      <c r="CA3" s="1489"/>
      <c r="CB3" s="1489"/>
      <c r="CC3" s="1489"/>
      <c r="CD3" s="1489"/>
      <c r="CE3" s="1489"/>
    </row>
    <row r="4" spans="1:83" ht="15.75" customHeight="1" thickBot="1" x14ac:dyDescent="0.3">
      <c r="A4" s="13"/>
      <c r="B4" s="660" t="s">
        <v>414</v>
      </c>
      <c r="C4" s="662" t="s">
        <v>662</v>
      </c>
      <c r="D4" s="665">
        <f>SUM(B10,B16,B22,B28,B34,B40,B46,B52,B58,B64,B70,B76)</f>
        <v>4</v>
      </c>
      <c r="E4" s="638" t="s">
        <v>362</v>
      </c>
      <c r="F4" s="665">
        <f>SUM(AH12,AH18,AH24,AH30,AH36,AH42,AH48,AH54,AH60,AH66,AH72,AH78)</f>
        <v>0</v>
      </c>
      <c r="G4" s="668" t="s">
        <v>820</v>
      </c>
      <c r="H4" s="13"/>
      <c r="I4" s="1500" t="s">
        <v>842</v>
      </c>
      <c r="J4" s="1500"/>
      <c r="K4" s="1500"/>
      <c r="L4" s="1500"/>
      <c r="M4" s="1500"/>
      <c r="N4" s="1500"/>
      <c r="O4" s="1500"/>
      <c r="P4" s="1500"/>
      <c r="Q4" s="1500"/>
      <c r="R4" s="13"/>
      <c r="S4" s="13"/>
      <c r="T4" s="13"/>
      <c r="U4" s="13"/>
      <c r="V4" s="13"/>
      <c r="W4" s="13"/>
      <c r="X4" s="13"/>
      <c r="Y4" s="13"/>
      <c r="Z4" s="13"/>
      <c r="AA4" s="13"/>
      <c r="AB4" s="13"/>
      <c r="AC4" s="13"/>
      <c r="AD4" s="13"/>
      <c r="AE4" s="13"/>
      <c r="AF4" s="13"/>
      <c r="AG4" s="16" t="s">
        <v>52</v>
      </c>
      <c r="AH4" s="13"/>
      <c r="AI4" s="594"/>
      <c r="AJ4" s="13"/>
      <c r="AK4" s="44" t="s">
        <v>113</v>
      </c>
      <c r="AL4" s="13"/>
      <c r="AM4" s="13"/>
      <c r="AN4" s="13"/>
      <c r="AO4" s="13"/>
      <c r="AP4" s="13"/>
      <c r="AQ4" s="13"/>
      <c r="AR4" s="13"/>
      <c r="AS4" s="13"/>
      <c r="AT4" s="13"/>
      <c r="AU4" s="1504" t="s">
        <v>779</v>
      </c>
      <c r="AV4" s="1504"/>
      <c r="AW4" s="1504"/>
      <c r="AX4" s="1504"/>
      <c r="AY4" s="1504"/>
      <c r="AZ4" s="1504"/>
      <c r="BA4" s="1504"/>
      <c r="BB4" s="1504"/>
      <c r="BC4" s="1504"/>
      <c r="BD4" s="1504"/>
      <c r="BE4" s="1504"/>
      <c r="BF4" s="1504"/>
      <c r="BH4" s="278" t="s">
        <v>651</v>
      </c>
      <c r="BI4" s="279"/>
      <c r="BJ4" s="1082" t="s">
        <v>681</v>
      </c>
      <c r="BK4" s="1082"/>
      <c r="BL4" s="1082"/>
      <c r="BM4" s="1082"/>
      <c r="BN4" s="1083"/>
      <c r="BO4" s="280" t="s">
        <v>652</v>
      </c>
      <c r="BP4" s="281"/>
      <c r="BQ4" s="684"/>
      <c r="BR4" s="1082" t="s">
        <v>653</v>
      </c>
      <c r="BS4" s="1082"/>
      <c r="BT4" s="1082"/>
      <c r="BU4" s="1082"/>
      <c r="BV4" s="1082"/>
      <c r="BW4" s="1085"/>
      <c r="BZ4" s="1490">
        <f>C2</f>
        <v>2020</v>
      </c>
      <c r="CA4" s="1491"/>
      <c r="CB4" s="1492"/>
      <c r="CC4" s="563"/>
      <c r="CD4" s="1493">
        <f>BZ20+1</f>
        <v>2022</v>
      </c>
      <c r="CE4" s="1494"/>
    </row>
    <row r="5" spans="1:83" ht="18.75" customHeight="1" x14ac:dyDescent="0.25">
      <c r="A5" s="13"/>
      <c r="B5" s="660" t="s">
        <v>818</v>
      </c>
      <c r="C5" s="663" t="s">
        <v>800</v>
      </c>
      <c r="D5" s="665">
        <f>SUM(B11,B17,B23,B29,B35,B41,B47,B53,B59,B65,B71,B77)</f>
        <v>9</v>
      </c>
      <c r="E5" s="666" t="s">
        <v>7</v>
      </c>
      <c r="F5" s="665">
        <f>SUM(B12,B18,B24,B30,B36,B42,B48,B54,B60,B66,B72,B78)</f>
        <v>4</v>
      </c>
      <c r="G5" s="669" t="s">
        <v>700</v>
      </c>
      <c r="H5" s="13"/>
      <c r="I5" s="1500"/>
      <c r="J5" s="1500"/>
      <c r="K5" s="1500"/>
      <c r="L5" s="1500"/>
      <c r="M5" s="1500"/>
      <c r="N5" s="1500"/>
      <c r="O5" s="1500"/>
      <c r="P5" s="1500"/>
      <c r="Q5" s="1500"/>
      <c r="R5" s="13"/>
      <c r="S5" s="13"/>
      <c r="T5" s="15" t="s">
        <v>53</v>
      </c>
      <c r="U5" s="17" t="s">
        <v>35</v>
      </c>
      <c r="V5" s="18"/>
      <c r="W5" s="18"/>
      <c r="X5" s="13"/>
      <c r="Y5" s="13"/>
      <c r="Z5" s="13"/>
      <c r="AA5" s="13"/>
      <c r="AB5" s="13"/>
      <c r="AC5" s="13"/>
      <c r="AD5" s="13"/>
      <c r="AE5" s="13"/>
      <c r="AF5" s="13"/>
      <c r="AG5" s="13"/>
      <c r="AH5" s="13"/>
      <c r="AI5" s="13"/>
      <c r="AJ5" s="674"/>
      <c r="AK5" s="44" t="s">
        <v>114</v>
      </c>
      <c r="AL5" s="13"/>
      <c r="AM5" s="13"/>
      <c r="AN5" s="13"/>
      <c r="AO5" s="13"/>
      <c r="AP5" s="13"/>
      <c r="AQ5" s="13"/>
      <c r="AR5" s="13"/>
      <c r="AS5" s="13"/>
      <c r="AT5" s="13"/>
      <c r="AU5" s="1504" t="s">
        <v>78</v>
      </c>
      <c r="AV5" s="67" t="s">
        <v>58</v>
      </c>
      <c r="AW5" s="68"/>
      <c r="AX5" s="68"/>
      <c r="AY5" s="68"/>
      <c r="AZ5" s="68"/>
      <c r="BA5" s="68"/>
      <c r="BB5" s="68"/>
      <c r="BC5" s="56"/>
      <c r="BD5" s="56"/>
      <c r="BE5" s="56"/>
      <c r="BF5" s="56"/>
      <c r="BH5" s="278" t="s">
        <v>655</v>
      </c>
      <c r="BI5" s="279"/>
      <c r="BJ5" s="1082" t="s">
        <v>682</v>
      </c>
      <c r="BK5" s="1082"/>
      <c r="BL5" s="1082"/>
      <c r="BM5" s="1082"/>
      <c r="BN5" s="1083"/>
      <c r="BO5" s="280" t="s">
        <v>656</v>
      </c>
      <c r="BP5" s="281"/>
      <c r="BQ5" s="684"/>
      <c r="BR5" s="1082" t="s">
        <v>657</v>
      </c>
      <c r="BS5" s="1082"/>
      <c r="BT5" s="1082"/>
      <c r="BU5" s="1082"/>
      <c r="BV5" s="1082"/>
      <c r="BW5" s="1085"/>
      <c r="BZ5" s="359">
        <f t="shared" ref="BZ5:BZ17" si="0">CA5</f>
        <v>43831</v>
      </c>
      <c r="CA5" s="360">
        <f>DATE(BZ4,1,1)</f>
        <v>43831</v>
      </c>
      <c r="CB5" s="361" t="s">
        <v>721</v>
      </c>
      <c r="CC5" s="563"/>
      <c r="CD5" s="1495" t="s">
        <v>722</v>
      </c>
      <c r="CE5" s="1496"/>
    </row>
    <row r="6" spans="1:83" ht="15.75" customHeight="1" x14ac:dyDescent="0.3">
      <c r="A6" s="13"/>
      <c r="B6" s="660" t="s">
        <v>819</v>
      </c>
      <c r="C6" s="636" t="s">
        <v>8</v>
      </c>
      <c r="D6" s="665">
        <f>SUM(AH8,AH14,AH20,AH26,AH32,AH38,AH44,AH50,AH56,AH62,AH68,AH74)</f>
        <v>6</v>
      </c>
      <c r="E6" s="637" t="s">
        <v>360</v>
      </c>
      <c r="F6" s="665">
        <f>SUM(AH9,AH15,AH21,AH27,AH33,AH39,AH45,AH51,AH57,AH63,AH69,AH75)</f>
        <v>3</v>
      </c>
      <c r="G6" s="670" t="s">
        <v>821</v>
      </c>
      <c r="H6" s="13"/>
      <c r="I6" s="1500"/>
      <c r="J6" s="1500"/>
      <c r="K6" s="1500"/>
      <c r="L6" s="1500"/>
      <c r="M6" s="1500"/>
      <c r="N6" s="1500"/>
      <c r="O6" s="1500"/>
      <c r="P6" s="1500"/>
      <c r="Q6" s="1500"/>
      <c r="R6" s="13"/>
      <c r="S6" s="13"/>
      <c r="T6" s="13"/>
      <c r="U6" s="263" t="s">
        <v>843</v>
      </c>
      <c r="V6" s="13"/>
      <c r="W6" s="13"/>
      <c r="X6" s="13"/>
      <c r="Y6" s="13"/>
      <c r="Z6" s="13"/>
      <c r="AA6" s="13"/>
      <c r="AB6" s="13"/>
      <c r="AC6" s="13"/>
      <c r="AD6" s="13"/>
      <c r="AE6" s="13"/>
      <c r="AF6" s="13"/>
      <c r="AG6" s="13"/>
      <c r="AH6" s="13"/>
      <c r="AI6" s="13"/>
      <c r="AJ6" s="674"/>
      <c r="AK6" s="594" t="s">
        <v>836</v>
      </c>
      <c r="AL6" s="13"/>
      <c r="AM6" s="13"/>
      <c r="AN6" s="13"/>
      <c r="AO6" s="13"/>
      <c r="AP6" s="13"/>
      <c r="AQ6" s="13"/>
      <c r="AR6" s="13"/>
      <c r="AS6" s="13"/>
      <c r="AT6" s="13"/>
      <c r="AU6" s="1504"/>
      <c r="AV6" s="46" t="s">
        <v>59</v>
      </c>
      <c r="AW6" s="47"/>
      <c r="AX6" s="48"/>
      <c r="AY6" s="47" t="s">
        <v>60</v>
      </c>
      <c r="AZ6" s="46"/>
      <c r="BA6" s="46"/>
      <c r="BB6" s="49"/>
      <c r="BC6" s="48"/>
      <c r="BD6" s="48"/>
      <c r="BE6" s="48"/>
      <c r="BF6" s="48"/>
      <c r="BH6" s="1086" t="s">
        <v>512</v>
      </c>
      <c r="BI6" s="1087"/>
      <c r="BJ6" s="1087"/>
      <c r="BK6" s="1087"/>
      <c r="BL6" s="1087"/>
      <c r="BM6" s="1087"/>
      <c r="BN6" s="1087"/>
      <c r="BO6" s="1087"/>
      <c r="BP6" s="1087"/>
      <c r="BQ6" s="1087"/>
      <c r="BR6" s="1087"/>
      <c r="BS6" s="1087"/>
      <c r="BT6" s="1087"/>
      <c r="BU6" s="1087"/>
      <c r="BV6" s="1087"/>
      <c r="BW6" s="1088"/>
      <c r="BZ6" s="359">
        <f t="shared" si="0"/>
        <v>43933</v>
      </c>
      <c r="CA6" s="360">
        <f>DATE(BZ4,3,29.56+0.979*MOD(204-11*MOD(BZ4,19),30)-WEEKDAY(DATE(BZ4,3,28.56+0.979*MOD(204-11*MOD(BZ4,19),30))))</f>
        <v>43933</v>
      </c>
      <c r="CB6" s="361" t="s">
        <v>585</v>
      </c>
      <c r="CC6" s="563"/>
      <c r="CD6" s="362" t="s">
        <v>723</v>
      </c>
      <c r="CE6" s="363">
        <f>DATE(CD4-1,12,25)</f>
        <v>44555</v>
      </c>
    </row>
    <row r="7" spans="1:83" ht="19.5" thickBot="1" x14ac:dyDescent="0.3">
      <c r="A7" s="13"/>
      <c r="B7" s="661" t="s">
        <v>822</v>
      </c>
      <c r="C7" s="664" t="s">
        <v>6</v>
      </c>
      <c r="D7" s="665">
        <f>SUM(AH10,AH16,AH22,AH28,AH34,AH40,AH46,AH52,AH58,AH64,AH70,AH76)</f>
        <v>6</v>
      </c>
      <c r="E7" s="667" t="s">
        <v>799</v>
      </c>
      <c r="F7" s="665">
        <f>SUM(AH11,AH17,AH23,AH29,AH35,AH41,AH47,AH53,AH59,AH65,AH71,AH77)</f>
        <v>0</v>
      </c>
      <c r="G7" s="671" t="s">
        <v>823</v>
      </c>
      <c r="H7" s="13"/>
      <c r="I7" s="1501"/>
      <c r="J7" s="1501"/>
      <c r="K7" s="1501"/>
      <c r="L7" s="1501"/>
      <c r="M7" s="1501"/>
      <c r="N7" s="1501"/>
      <c r="O7" s="1501"/>
      <c r="P7" s="1501"/>
      <c r="Q7" s="1501"/>
      <c r="R7" s="13"/>
      <c r="S7" s="13"/>
      <c r="T7" s="13"/>
      <c r="U7" s="13"/>
      <c r="V7" s="13"/>
      <c r="W7" s="13"/>
      <c r="X7" s="13"/>
      <c r="Y7" s="13"/>
      <c r="Z7" s="13"/>
      <c r="AA7" s="13"/>
      <c r="AB7" s="13"/>
      <c r="AC7" s="13"/>
      <c r="AD7" s="13"/>
      <c r="AE7" s="13"/>
      <c r="AF7" s="13"/>
      <c r="AG7" s="13"/>
      <c r="AH7" s="13"/>
      <c r="AI7" s="13"/>
      <c r="AJ7" s="13"/>
      <c r="AK7" s="45" t="s">
        <v>834</v>
      </c>
      <c r="AL7" s="13"/>
      <c r="AM7" s="13"/>
      <c r="AN7" s="13"/>
      <c r="AO7" s="13"/>
      <c r="AP7" s="13"/>
      <c r="AQ7" s="594" t="s">
        <v>835</v>
      </c>
      <c r="AR7" s="13"/>
      <c r="AS7" s="13"/>
      <c r="AT7" s="13"/>
      <c r="AU7" s="1504"/>
      <c r="AV7" s="54"/>
      <c r="AW7" s="72"/>
      <c r="AX7" s="1505" t="s">
        <v>61</v>
      </c>
      <c r="AY7" s="1505"/>
      <c r="AZ7" s="1505"/>
      <c r="BA7" s="1505"/>
      <c r="BB7" s="676" t="s">
        <v>830</v>
      </c>
      <c r="BC7" s="56"/>
      <c r="BD7" s="56"/>
      <c r="BE7" s="56"/>
      <c r="BF7" s="56"/>
      <c r="BH7" s="285"/>
      <c r="BI7" s="286" t="str">
        <f ca="1">CELL("nomfichier")</f>
        <v>E:\UPRT a faire\so-plannings.copie\[calendrier.Pascal.Grandet.xlsx]Calendrier.Pascal.Grandet</v>
      </c>
      <c r="BJ7" s="287"/>
      <c r="BK7" s="287"/>
      <c r="BL7" s="287"/>
      <c r="BM7" s="287"/>
      <c r="BN7" s="287"/>
      <c r="BO7" s="287"/>
      <c r="BP7" s="287"/>
      <c r="BQ7" s="287"/>
      <c r="BR7" s="287"/>
      <c r="BS7" s="287"/>
      <c r="BT7" s="287"/>
      <c r="BU7" s="287"/>
      <c r="BV7" s="287"/>
      <c r="BW7" s="288"/>
      <c r="BZ7" s="359">
        <f t="shared" si="0"/>
        <v>43934</v>
      </c>
      <c r="CA7" s="360">
        <f>CA6+1</f>
        <v>43934</v>
      </c>
      <c r="CB7" s="361" t="s">
        <v>725</v>
      </c>
      <c r="CC7" s="563"/>
      <c r="CD7" s="364" t="s">
        <v>721</v>
      </c>
      <c r="CE7" s="365">
        <f>DATE(CD4,1,1)</f>
        <v>44562</v>
      </c>
    </row>
    <row r="8" spans="1:83" ht="14.25" customHeight="1" x14ac:dyDescent="0.25">
      <c r="A8" s="651"/>
      <c r="B8" s="20">
        <f>DATE($C$2,MONTH(1&amp;"/"&amp;C9),1)</f>
        <v>43831</v>
      </c>
      <c r="C8" s="14">
        <f>B8</f>
        <v>43831</v>
      </c>
      <c r="D8" s="14">
        <f>IFERROR(IF(C8+1&gt;$B$9,"",C8+1),"")</f>
        <v>43832</v>
      </c>
      <c r="E8" s="14">
        <f t="shared" ref="E8:AG8" si="1">IFERROR(IF(D8+1&gt;$B$9,"",D8+1),"")</f>
        <v>43833</v>
      </c>
      <c r="F8" s="14">
        <f t="shared" si="1"/>
        <v>43834</v>
      </c>
      <c r="G8" s="14">
        <f t="shared" si="1"/>
        <v>43835</v>
      </c>
      <c r="H8" s="14">
        <f t="shared" si="1"/>
        <v>43836</v>
      </c>
      <c r="I8" s="14">
        <f t="shared" si="1"/>
        <v>43837</v>
      </c>
      <c r="J8" s="14">
        <f t="shared" si="1"/>
        <v>43838</v>
      </c>
      <c r="K8" s="14">
        <f t="shared" si="1"/>
        <v>43839</v>
      </c>
      <c r="L8" s="14">
        <f t="shared" si="1"/>
        <v>43840</v>
      </c>
      <c r="M8" s="14">
        <f t="shared" si="1"/>
        <v>43841</v>
      </c>
      <c r="N8" s="14">
        <f t="shared" si="1"/>
        <v>43842</v>
      </c>
      <c r="O8" s="14">
        <f t="shared" si="1"/>
        <v>43843</v>
      </c>
      <c r="P8" s="14">
        <f t="shared" si="1"/>
        <v>43844</v>
      </c>
      <c r="Q8" s="14">
        <f t="shared" si="1"/>
        <v>43845</v>
      </c>
      <c r="R8" s="14">
        <f t="shared" si="1"/>
        <v>43846</v>
      </c>
      <c r="S8" s="14">
        <f t="shared" si="1"/>
        <v>43847</v>
      </c>
      <c r="T8" s="14">
        <f t="shared" si="1"/>
        <v>43848</v>
      </c>
      <c r="U8" s="14">
        <f t="shared" si="1"/>
        <v>43849</v>
      </c>
      <c r="V8" s="14">
        <f t="shared" si="1"/>
        <v>43850</v>
      </c>
      <c r="W8" s="14">
        <f t="shared" si="1"/>
        <v>43851</v>
      </c>
      <c r="X8" s="14">
        <f t="shared" si="1"/>
        <v>43852</v>
      </c>
      <c r="Y8" s="14">
        <f t="shared" si="1"/>
        <v>43853</v>
      </c>
      <c r="Z8" s="14">
        <f t="shared" si="1"/>
        <v>43854</v>
      </c>
      <c r="AA8" s="14">
        <f t="shared" si="1"/>
        <v>43855</v>
      </c>
      <c r="AB8" s="14">
        <f t="shared" si="1"/>
        <v>43856</v>
      </c>
      <c r="AC8" s="14">
        <f t="shared" si="1"/>
        <v>43857</v>
      </c>
      <c r="AD8" s="14">
        <f t="shared" si="1"/>
        <v>43858</v>
      </c>
      <c r="AE8" s="14">
        <f t="shared" si="1"/>
        <v>43859</v>
      </c>
      <c r="AF8" s="14">
        <f t="shared" si="1"/>
        <v>43860</v>
      </c>
      <c r="AG8" s="14">
        <f t="shared" si="1"/>
        <v>43861</v>
      </c>
      <c r="AH8" s="647">
        <f>COUNTIF(C12:AG12,AI8)</f>
        <v>0</v>
      </c>
      <c r="AI8" s="640" t="s">
        <v>8</v>
      </c>
      <c r="AK8" s="45" t="s">
        <v>502</v>
      </c>
      <c r="AL8" s="13"/>
      <c r="AM8" s="13"/>
      <c r="AN8" s="13"/>
      <c r="AO8" s="13"/>
      <c r="AP8" s="13"/>
      <c r="AQ8" s="13"/>
      <c r="AR8" s="13"/>
      <c r="AS8" s="13"/>
      <c r="AT8" s="13"/>
      <c r="AU8" s="487"/>
      <c r="AV8" s="54"/>
      <c r="AW8" s="72"/>
      <c r="AX8" s="56"/>
      <c r="AY8" s="56"/>
      <c r="AZ8" s="56"/>
      <c r="BA8" s="56"/>
      <c r="BB8" s="56"/>
      <c r="BC8" s="56"/>
      <c r="BD8" s="56"/>
      <c r="BE8" s="56"/>
      <c r="BF8" s="56"/>
      <c r="BH8" s="290"/>
      <c r="BI8" s="592" t="s">
        <v>513</v>
      </c>
      <c r="BJ8" s="291"/>
      <c r="BK8" s="292"/>
      <c r="BL8" s="293" t="s">
        <v>297</v>
      </c>
      <c r="BM8" s="294"/>
      <c r="BN8" s="292"/>
      <c r="BO8" s="295"/>
      <c r="BP8" s="295"/>
      <c r="BQ8" s="295"/>
      <c r="BR8" s="296" t="s">
        <v>517</v>
      </c>
      <c r="BS8" s="297"/>
      <c r="BT8" s="298" t="s">
        <v>57</v>
      </c>
      <c r="BU8" s="299"/>
      <c r="BV8" s="299"/>
      <c r="BW8" s="300"/>
      <c r="BZ8" s="359">
        <f t="shared" si="0"/>
        <v>43952</v>
      </c>
      <c r="CA8" s="360">
        <f>DATE(BZ4,5,1)</f>
        <v>43952</v>
      </c>
      <c r="CB8" s="361" t="s">
        <v>726</v>
      </c>
      <c r="CC8" s="563"/>
      <c r="CD8" s="362" t="s">
        <v>585</v>
      </c>
      <c r="CE8" s="363">
        <f>ROUND(DATE(CD4,4,MOD(234-11*MOD(CD4,19),30))/7,)*7-6</f>
        <v>44668</v>
      </c>
    </row>
    <row r="9" spans="1:83" ht="19.5" thickBot="1" x14ac:dyDescent="0.3">
      <c r="A9" s="652"/>
      <c r="B9" s="21">
        <f>EOMONTH(B8,0)</f>
        <v>43861</v>
      </c>
      <c r="C9" s="1479" t="s">
        <v>36</v>
      </c>
      <c r="D9" s="1480"/>
      <c r="E9" s="1480"/>
      <c r="F9" s="1480"/>
      <c r="G9" s="1480"/>
      <c r="H9" s="1480"/>
      <c r="I9" s="1480"/>
      <c r="J9" s="1480"/>
      <c r="K9" s="1480"/>
      <c r="L9" s="1480"/>
      <c r="M9" s="1480"/>
      <c r="N9" s="1480"/>
      <c r="O9" s="1480"/>
      <c r="P9" s="1480"/>
      <c r="Q9" s="1480"/>
      <c r="R9" s="1480"/>
      <c r="S9" s="1480"/>
      <c r="T9" s="1480"/>
      <c r="U9" s="1480"/>
      <c r="V9" s="1480"/>
      <c r="W9" s="1480"/>
      <c r="X9" s="1480"/>
      <c r="Y9" s="1480"/>
      <c r="Z9" s="1480"/>
      <c r="AA9" s="1480"/>
      <c r="AB9" s="1480"/>
      <c r="AC9" s="1480"/>
      <c r="AD9" s="1480"/>
      <c r="AE9" s="1480"/>
      <c r="AF9" s="1480"/>
      <c r="AG9" s="1481"/>
      <c r="AH9" s="648">
        <f>COUNTIF(C12:AG12,AI9)</f>
        <v>3</v>
      </c>
      <c r="AI9" s="629" t="s">
        <v>360</v>
      </c>
      <c r="AK9" s="685" t="s">
        <v>37</v>
      </c>
      <c r="AL9" s="13"/>
      <c r="AM9" s="94" t="s">
        <v>79</v>
      </c>
      <c r="AN9" s="13"/>
      <c r="AO9" s="13"/>
      <c r="AP9" s="13"/>
      <c r="AQ9" s="13"/>
      <c r="AR9" s="13"/>
      <c r="AS9" s="13"/>
      <c r="AT9" s="13"/>
      <c r="AV9" s="50">
        <v>0.27083333333333331</v>
      </c>
      <c r="AW9" s="50">
        <v>0.4375</v>
      </c>
      <c r="AX9" s="51"/>
      <c r="AY9" s="52">
        <f>IF(AW9-AV9=0,0,(AW9-AV9)-(AX9*TIMEVALUE("00:30")))</f>
        <v>0.16666666666666669</v>
      </c>
      <c r="AZ9" s="53" t="s">
        <v>62</v>
      </c>
      <c r="BA9" s="54"/>
      <c r="BB9" s="55"/>
      <c r="BC9" s="56"/>
      <c r="BD9" s="56"/>
      <c r="BE9" s="56"/>
      <c r="BF9" s="56"/>
      <c r="BH9" s="290"/>
      <c r="BI9" s="292"/>
      <c r="BJ9" s="292"/>
      <c r="BK9" s="292"/>
      <c r="BL9" s="292"/>
      <c r="BM9" s="294"/>
      <c r="BN9" s="292"/>
      <c r="BO9" s="295"/>
      <c r="BP9" s="295"/>
      <c r="BQ9" s="295"/>
      <c r="BR9" s="301" t="s">
        <v>522</v>
      </c>
      <c r="BS9" s="297"/>
      <c r="BT9" s="302">
        <f ca="1">NOW()</f>
        <v>44232.80612465278</v>
      </c>
      <c r="BU9" s="303"/>
      <c r="BV9" s="304"/>
      <c r="BW9" s="304"/>
      <c r="BZ9" s="359">
        <f t="shared" si="0"/>
        <v>43959</v>
      </c>
      <c r="CA9" s="360">
        <f>DATE(BZ4,5,8)</f>
        <v>43959</v>
      </c>
      <c r="CB9" s="361" t="s">
        <v>728</v>
      </c>
      <c r="CC9" s="563"/>
      <c r="CD9" s="362" t="s">
        <v>725</v>
      </c>
      <c r="CE9" s="363">
        <f>CE8+1</f>
        <v>44669</v>
      </c>
    </row>
    <row r="10" spans="1:83" ht="18.75" x14ac:dyDescent="0.25">
      <c r="A10" s="654" t="s">
        <v>662</v>
      </c>
      <c r="B10" s="657">
        <f>COUNTIF(C12:AG12,A10)</f>
        <v>0</v>
      </c>
      <c r="C10" s="6">
        <f t="shared" ref="C10:AG10" si="2">IFERROR(DAY(C8),"")</f>
        <v>1</v>
      </c>
      <c r="D10" s="3">
        <f t="shared" si="2"/>
        <v>2</v>
      </c>
      <c r="E10" s="3">
        <f t="shared" si="2"/>
        <v>3</v>
      </c>
      <c r="F10" s="3">
        <f t="shared" si="2"/>
        <v>4</v>
      </c>
      <c r="G10" s="3">
        <f t="shared" si="2"/>
        <v>5</v>
      </c>
      <c r="H10" s="3">
        <f t="shared" si="2"/>
        <v>6</v>
      </c>
      <c r="I10" s="3">
        <f t="shared" si="2"/>
        <v>7</v>
      </c>
      <c r="J10" s="3">
        <f t="shared" si="2"/>
        <v>8</v>
      </c>
      <c r="K10" s="3">
        <f t="shared" si="2"/>
        <v>9</v>
      </c>
      <c r="L10" s="3">
        <f t="shared" si="2"/>
        <v>10</v>
      </c>
      <c r="M10" s="3">
        <f t="shared" si="2"/>
        <v>11</v>
      </c>
      <c r="N10" s="3">
        <f t="shared" si="2"/>
        <v>12</v>
      </c>
      <c r="O10" s="3">
        <f t="shared" si="2"/>
        <v>13</v>
      </c>
      <c r="P10" s="3">
        <f t="shared" si="2"/>
        <v>14</v>
      </c>
      <c r="Q10" s="3">
        <f t="shared" si="2"/>
        <v>15</v>
      </c>
      <c r="R10" s="3">
        <f t="shared" si="2"/>
        <v>16</v>
      </c>
      <c r="S10" s="3">
        <f t="shared" si="2"/>
        <v>17</v>
      </c>
      <c r="T10" s="3">
        <f t="shared" si="2"/>
        <v>18</v>
      </c>
      <c r="U10" s="3">
        <f t="shared" si="2"/>
        <v>19</v>
      </c>
      <c r="V10" s="3">
        <f t="shared" si="2"/>
        <v>20</v>
      </c>
      <c r="W10" s="3">
        <f t="shared" si="2"/>
        <v>21</v>
      </c>
      <c r="X10" s="3">
        <f t="shared" si="2"/>
        <v>22</v>
      </c>
      <c r="Y10" s="3">
        <f t="shared" si="2"/>
        <v>23</v>
      </c>
      <c r="Z10" s="3">
        <f t="shared" si="2"/>
        <v>24</v>
      </c>
      <c r="AA10" s="3">
        <f t="shared" si="2"/>
        <v>25</v>
      </c>
      <c r="AB10" s="3">
        <f t="shared" si="2"/>
        <v>26</v>
      </c>
      <c r="AC10" s="3">
        <f t="shared" si="2"/>
        <v>27</v>
      </c>
      <c r="AD10" s="3">
        <f t="shared" si="2"/>
        <v>28</v>
      </c>
      <c r="AE10" s="3">
        <f t="shared" si="2"/>
        <v>29</v>
      </c>
      <c r="AF10" s="3">
        <f t="shared" si="2"/>
        <v>30</v>
      </c>
      <c r="AG10" s="7">
        <f t="shared" si="2"/>
        <v>31</v>
      </c>
      <c r="AH10" s="648">
        <f>COUNTIF(C12:AG12,AI10)</f>
        <v>6</v>
      </c>
      <c r="AI10" s="10" t="s">
        <v>6</v>
      </c>
      <c r="AJ10" s="13"/>
      <c r="AK10" s="13"/>
      <c r="AL10" s="13"/>
      <c r="AN10" s="13"/>
      <c r="AO10" s="13"/>
      <c r="AP10" s="13"/>
      <c r="AQ10" s="13"/>
      <c r="AR10" s="13"/>
      <c r="AS10" s="13"/>
      <c r="AT10" s="13"/>
      <c r="AU10" s="70"/>
      <c r="AV10" s="57"/>
      <c r="AW10" s="57"/>
      <c r="AX10" s="57"/>
      <c r="AY10" s="54"/>
      <c r="AZ10" s="54"/>
      <c r="BA10" s="54"/>
      <c r="BB10" s="55"/>
      <c r="BC10" s="56"/>
      <c r="BD10" s="56"/>
      <c r="BE10" s="56"/>
      <c r="BF10" s="56"/>
      <c r="BH10" s="290"/>
      <c r="BI10" s="305">
        <f>BI9+1</f>
        <v>1</v>
      </c>
      <c r="BJ10" s="306" t="s">
        <v>514</v>
      </c>
      <c r="BK10" s="292"/>
      <c r="BL10" s="292"/>
      <c r="BM10" s="294"/>
      <c r="BN10" s="292"/>
      <c r="BO10" s="295"/>
      <c r="BP10" s="295"/>
      <c r="BQ10" s="295"/>
      <c r="BR10" s="307" t="s">
        <v>527</v>
      </c>
      <c r="BS10" s="292"/>
      <c r="BT10" s="295"/>
      <c r="BU10" s="292"/>
      <c r="BV10" s="292"/>
      <c r="BW10" s="308"/>
      <c r="BZ10" s="359">
        <f t="shared" si="0"/>
        <v>43972</v>
      </c>
      <c r="CA10" s="360">
        <f>CA6+39</f>
        <v>43972</v>
      </c>
      <c r="CB10" s="361" t="s">
        <v>729</v>
      </c>
      <c r="CC10" s="563"/>
      <c r="CD10" s="362" t="s">
        <v>726</v>
      </c>
      <c r="CE10" s="363">
        <f>DATE(CD4,5,1)</f>
        <v>44682</v>
      </c>
    </row>
    <row r="11" spans="1:83" ht="16.5" customHeight="1" thickBot="1" x14ac:dyDescent="0.3">
      <c r="A11" s="655" t="s">
        <v>800</v>
      </c>
      <c r="B11" s="658">
        <f>COUNTIF(C12:AG12,A11)</f>
        <v>0</v>
      </c>
      <c r="C11" s="5">
        <f t="shared" ref="C11:AC11" si="3">IF(C8="","",WEEKDAY(C8,1))</f>
        <v>4</v>
      </c>
      <c r="D11" s="8">
        <f t="shared" si="3"/>
        <v>5</v>
      </c>
      <c r="E11" s="8">
        <f t="shared" si="3"/>
        <v>6</v>
      </c>
      <c r="F11" s="8">
        <f t="shared" si="3"/>
        <v>7</v>
      </c>
      <c r="G11" s="8">
        <f t="shared" si="3"/>
        <v>1</v>
      </c>
      <c r="H11" s="8">
        <f t="shared" si="3"/>
        <v>2</v>
      </c>
      <c r="I11" s="8">
        <f t="shared" si="3"/>
        <v>3</v>
      </c>
      <c r="J11" s="8">
        <f t="shared" si="3"/>
        <v>4</v>
      </c>
      <c r="K11" s="8">
        <f t="shared" si="3"/>
        <v>5</v>
      </c>
      <c r="L11" s="8">
        <f t="shared" si="3"/>
        <v>6</v>
      </c>
      <c r="M11" s="8">
        <f t="shared" si="3"/>
        <v>7</v>
      </c>
      <c r="N11" s="8">
        <f t="shared" si="3"/>
        <v>1</v>
      </c>
      <c r="O11" s="8">
        <f t="shared" si="3"/>
        <v>2</v>
      </c>
      <c r="P11" s="8">
        <f t="shared" si="3"/>
        <v>3</v>
      </c>
      <c r="Q11" s="8">
        <f t="shared" si="3"/>
        <v>4</v>
      </c>
      <c r="R11" s="8">
        <f t="shared" si="3"/>
        <v>5</v>
      </c>
      <c r="S11" s="8">
        <f t="shared" si="3"/>
        <v>6</v>
      </c>
      <c r="T11" s="8">
        <f t="shared" si="3"/>
        <v>7</v>
      </c>
      <c r="U11" s="8">
        <f t="shared" si="3"/>
        <v>1</v>
      </c>
      <c r="V11" s="8">
        <f t="shared" si="3"/>
        <v>2</v>
      </c>
      <c r="W11" s="8">
        <f t="shared" si="3"/>
        <v>3</v>
      </c>
      <c r="X11" s="8">
        <f t="shared" si="3"/>
        <v>4</v>
      </c>
      <c r="Y11" s="8">
        <f t="shared" si="3"/>
        <v>5</v>
      </c>
      <c r="Z11" s="8">
        <f t="shared" si="3"/>
        <v>6</v>
      </c>
      <c r="AA11" s="8">
        <f t="shared" si="3"/>
        <v>7</v>
      </c>
      <c r="AB11" s="8">
        <f t="shared" si="3"/>
        <v>1</v>
      </c>
      <c r="AC11" s="8">
        <f t="shared" si="3"/>
        <v>2</v>
      </c>
      <c r="AD11" s="8">
        <f>IF(AD8="","",WEEKDAY(AD8,1))</f>
        <v>3</v>
      </c>
      <c r="AE11" s="8">
        <f>IF(AE8="","",WEEKDAY(AE8,1))</f>
        <v>4</v>
      </c>
      <c r="AF11" s="8">
        <f t="shared" ref="AF11:AG11" si="4">IF(AF8="","",WEEKDAY(AF8,1))</f>
        <v>5</v>
      </c>
      <c r="AG11" s="9">
        <f t="shared" si="4"/>
        <v>6</v>
      </c>
      <c r="AH11" s="648">
        <f>COUNTIF(C12:AG12,AI11)</f>
        <v>0</v>
      </c>
      <c r="AI11" s="633" t="s">
        <v>799</v>
      </c>
      <c r="AJ11" s="13"/>
      <c r="AK11" s="42"/>
      <c r="AL11" s="45" t="s">
        <v>490</v>
      </c>
      <c r="AM11" s="13"/>
      <c r="AN11" s="13"/>
      <c r="AO11" s="13"/>
      <c r="AP11" s="13"/>
      <c r="AQ11" s="13"/>
      <c r="AR11" s="13"/>
      <c r="AS11" s="13"/>
      <c r="AT11" s="13"/>
      <c r="AU11" s="94" t="s">
        <v>80</v>
      </c>
      <c r="AV11" s="50">
        <v>0.33333333333333331</v>
      </c>
      <c r="AW11" s="50">
        <v>0.5</v>
      </c>
      <c r="AX11" s="51"/>
      <c r="AY11" s="52">
        <f>IF(AW11-AV11=0,0,(AW11-AV11)-(AX11*TIMEVALUE("00:30")))</f>
        <v>0.16666666666666669</v>
      </c>
      <c r="AZ11" s="53" t="s">
        <v>63</v>
      </c>
      <c r="BA11" s="54"/>
      <c r="BB11" s="55"/>
      <c r="BC11" s="56"/>
      <c r="BD11" s="56"/>
      <c r="BE11" s="56"/>
      <c r="BF11" s="56"/>
      <c r="BH11" s="290"/>
      <c r="BI11" s="292"/>
      <c r="BJ11" s="292"/>
      <c r="BK11" s="292"/>
      <c r="BL11" s="292"/>
      <c r="BM11" s="294"/>
      <c r="BN11" s="292"/>
      <c r="BO11" s="295"/>
      <c r="BP11" s="295"/>
      <c r="BQ11" s="295"/>
      <c r="BR11" s="309" t="s">
        <v>366</v>
      </c>
      <c r="BS11" s="292"/>
      <c r="BT11" s="295"/>
      <c r="BU11" s="292"/>
      <c r="BV11" s="292"/>
      <c r="BW11" s="310"/>
      <c r="BZ11" s="359">
        <f t="shared" si="0"/>
        <v>43982</v>
      </c>
      <c r="CA11" s="360">
        <f>CA6+49</f>
        <v>43982</v>
      </c>
      <c r="CB11" s="361" t="s">
        <v>731</v>
      </c>
      <c r="CC11" s="563"/>
      <c r="CD11" s="362" t="s">
        <v>728</v>
      </c>
      <c r="CE11" s="363">
        <f>DATE(CD4,5,8)</f>
        <v>44689</v>
      </c>
    </row>
    <row r="12" spans="1:83" ht="15.75" customHeight="1" x14ac:dyDescent="0.25">
      <c r="A12" s="679" t="s">
        <v>7</v>
      </c>
      <c r="B12" s="658">
        <f>COUNTIF(C12:AG12,A12)</f>
        <v>4</v>
      </c>
      <c r="C12" s="6" t="str" cm="1">
        <f t="array" ref="C12">IFERROR(INDEX($AK$17:$AN$116,MATCH(1,(C8&gt;=$AM$17:$AM$116)*($AN$17:$AN$116&gt;=C8)*($AK$17:$AK$116=$U$2),0),2),"")</f>
        <v>Aap</v>
      </c>
      <c r="D12" s="3" t="str">
        <f t="array" ref="D12">IFERROR(INDEX($AK$17:$AN$116,MATCH(1,(D8&gt;=$AM$17:$AM$116)*($AN$17:$AN$116&gt;=D8)*($AK$17:$AK$116=$U$2),0),2),"")</f>
        <v>Aap</v>
      </c>
      <c r="E12" s="3" t="str">
        <f t="array" ref="E12">IFERROR(INDEX($AK$17:$AN$116,MATCH(1,(E8&gt;=$AM$17:$AM$116)*($AN$17:$AN$116&gt;=E8)*($AK$17:$AK$116=$U$2),0),2),"")</f>
        <v>Aap</v>
      </c>
      <c r="F12" s="3" t="str">
        <f t="array" ref="F12">IFERROR(INDEX($AK$17:$AN$116,MATCH(1,(F8&gt;=$AM$17:$AM$116)*($AN$17:$AN$116&gt;=F8)*($AK$17:$AK$116=$U$2),0),2),"")</f>
        <v/>
      </c>
      <c r="G12" s="3" t="str">
        <f t="array" ref="G12">IFERROR(INDEX($AK$17:$AN$116,MATCH(1,(G8&gt;=$AM$17:$AM$116)*($AN$17:$AN$116&gt;=G8)*($AK$17:$AK$116=$U$2),0),2),"")</f>
        <v/>
      </c>
      <c r="H12" s="3" t="str">
        <f t="array" ref="H12">IFERROR(INDEX($AK$17:$AN$116,MATCH(1,(H8&gt;=$AM$17:$AM$116)*($AN$17:$AN$116&gt;=H8)*($AK$17:$AK$116=$U$2),0),2),"")</f>
        <v/>
      </c>
      <c r="I12" s="3" t="str">
        <f t="array" ref="I12">IFERROR(INDEX($AK$17:$AN$116,MATCH(1,(I8&gt;=$AM$17:$AM$116)*($AN$17:$AN$116&gt;=I8)*($AK$17:$AK$116=$U$2),0),2),"")</f>
        <v>M</v>
      </c>
      <c r="J12" s="3" t="str">
        <f t="array" ref="J12">IFERROR(INDEX($AK$17:$AN$116,MATCH(1,(J8&gt;=$AM$17:$AM$116)*($AN$17:$AN$116&gt;=J8)*($AK$17:$AK$116=$U$2),0),2),"")</f>
        <v>M</v>
      </c>
      <c r="K12" s="3" t="str">
        <f t="array" ref="K12">IFERROR(INDEX($AK$17:$AN$116,MATCH(1,(K8&gt;=$AM$17:$AM$116)*($AN$17:$AN$116&gt;=K8)*($AK$17:$AK$116=$U$2),0),2),"")</f>
        <v>M</v>
      </c>
      <c r="L12" s="3" t="str">
        <f t="array" ref="L12">IFERROR(INDEX($AK$17:$AN$116,MATCH(1,(L8&gt;=$AM$17:$AM$116)*($AN$17:$AN$116&gt;=L8)*($AK$17:$AK$116=$U$2),0),2),"")</f>
        <v>M</v>
      </c>
      <c r="M12" s="3" t="str">
        <f t="array" ref="M12">IFERROR(INDEX($AK$17:$AN$116,MATCH(1,(M8&gt;=$AM$17:$AM$116)*($AN$17:$AN$116&gt;=M8)*($AK$17:$AK$116=$U$2),0),2),"")</f>
        <v>M</v>
      </c>
      <c r="N12" s="3" t="str">
        <f t="array" ref="N12">IFERROR(INDEX($AK$17:$AN$116,MATCH(1,(N8&gt;=$AM$17:$AM$116)*($AN$17:$AN$116&gt;=N8)*($AK$17:$AK$116=$U$2),0),2),"")</f>
        <v>M</v>
      </c>
      <c r="O12" s="3" t="str">
        <f t="array" ref="O12">IFERROR(INDEX($AK$17:$AN$116,MATCH(1,(O8&gt;=$AM$17:$AM$116)*($AN$17:$AN$116&gt;=O8)*($AK$17:$AK$116=$U$2),0),2),"")</f>
        <v>C</v>
      </c>
      <c r="P12" s="3" t="str">
        <f t="array" ref="P12">IFERROR(INDEX($AK$17:$AN$116,MATCH(1,(P8&gt;=$AM$17:$AM$116)*($AN$17:$AN$116&gt;=P8)*($AK$17:$AK$116=$U$2),0),2),"")</f>
        <v>C</v>
      </c>
      <c r="Q12" s="3" t="str">
        <f t="array" ref="Q12">IFERROR(INDEX($AK$17:$AN$116,MATCH(1,(Q8&gt;=$AM$17:$AM$116)*($AN$17:$AN$116&gt;=Q8)*($AK$17:$AK$116=$U$2),0),2),"")</f>
        <v>C</v>
      </c>
      <c r="R12" s="3" t="str">
        <f t="array" ref="R12">IFERROR(INDEX($AK$17:$AN$116,MATCH(1,(R8&gt;=$AM$17:$AM$116)*($AN$17:$AN$116&gt;=R8)*($AK$17:$AK$116=$U$2),0),2),"")</f>
        <v>C</v>
      </c>
      <c r="S12" s="3" t="str">
        <f t="array" ref="S12">IFERROR(INDEX($AK$17:$AN$116,MATCH(1,(S8&gt;=$AM$17:$AM$116)*($AN$17:$AN$116&gt;=S8)*($AK$17:$AK$116=$U$2),0),2),"")</f>
        <v/>
      </c>
      <c r="T12" s="3" t="str">
        <f t="array" ref="T12">IFERROR(INDEX($AK$17:$AN$116,MATCH(1,(T8&gt;=$AM$17:$AM$116)*($AN$17:$AN$116&gt;=T8)*($AK$17:$AK$116=$U$2),0),2),"")</f>
        <v/>
      </c>
      <c r="U12" s="3" t="str">
        <f t="array" ref="U12">IFERROR(INDEX($AK$17:$AN$116,MATCH(1,(U8&gt;=$AM$17:$AM$116)*($AN$17:$AN$116&gt;=U8)*($AK$17:$AK$116=$U$2),0),2),"")</f>
        <v/>
      </c>
      <c r="V12" s="3" t="str">
        <f t="array" ref="V12">IFERROR(INDEX($AK$17:$AN$116,MATCH(1,(V8&gt;=$AM$17:$AM$116)*($AN$17:$AN$116&gt;=V8)*($AK$17:$AK$116=$U$2),0),2),"")</f>
        <v/>
      </c>
      <c r="W12" s="3" t="str">
        <f t="array" ref="W12">IFERROR(INDEX($AK$17:$AN$116,MATCH(1,(W8&gt;=$AM$17:$AM$116)*($AN$17:$AN$116&gt;=W8)*($AK$17:$AK$116=$U$2),0),2),"")</f>
        <v/>
      </c>
      <c r="X12" s="3" t="str">
        <f t="array" ref="X12">IFERROR(INDEX($AK$17:$AN$116,MATCH(1,(X8&gt;=$AM$17:$AM$116)*($AN$17:$AN$116&gt;=X8)*($AK$17:$AK$116=$U$2),0),2),"")</f>
        <v/>
      </c>
      <c r="Y12" s="3" t="str">
        <f t="array" ref="Y12">IFERROR(INDEX($AK$17:$AN$116,MATCH(1,(Y8&gt;=$AM$17:$AM$116)*($AN$17:$AN$116&gt;=Y8)*($AK$17:$AK$116=$U$2),0),2),"")</f>
        <v/>
      </c>
      <c r="Z12" s="3" t="str">
        <f t="array" ref="Z12">IFERROR(INDEX($AK$17:$AN$116,MATCH(1,(Z8&gt;=$AM$17:$AM$116)*($AN$17:$AN$116&gt;=Z8)*($AK$17:$AK$116=$U$2),0),2),"")</f>
        <v/>
      </c>
      <c r="AA12" s="3" t="str">
        <f t="array" ref="AA12">IFERROR(INDEX($AK$17:$AN$116,MATCH(1,(AA8&gt;=$AM$17:$AM$116)*($AN$17:$AN$116&gt;=AA8)*($AK$17:$AK$116=$U$2),0),2),"")</f>
        <v/>
      </c>
      <c r="AB12" s="3" t="str">
        <f t="array" ref="AB12">IFERROR(INDEX($AK$17:$AN$116,MATCH(1,(AB8&gt;=$AM$17:$AM$116)*($AN$17:$AN$116&gt;=AB8)*($AK$17:$AK$116=$U$2),0),2),"")</f>
        <v/>
      </c>
      <c r="AC12" s="3" t="str">
        <f t="array" ref="AC12">IFERROR(INDEX($AK$17:$AN$116,MATCH(1,(AC8&gt;=$AM$17:$AM$116)*($AN$17:$AN$116&gt;=AC8)*($AK$17:$AK$116=$U$2),0),2),"")</f>
        <v/>
      </c>
      <c r="AD12" s="3" t="str">
        <f t="array" ref="AD12">IFERROR(INDEX($AK$17:$AN$116,MATCH(1,(AD8&gt;=$AM$17:$AM$116)*($AN$17:$AN$116&gt;=AD8)*($AK$17:$AK$116=$U$2),0),2),"")</f>
        <v/>
      </c>
      <c r="AE12" s="3" t="str">
        <f t="array" ref="AE12">IFERROR(INDEX($AK$17:$AN$116,MATCH(1,(AE8&gt;=$AM$17:$AM$116)*($AN$17:$AN$116&gt;=AE8)*($AK$17:$AK$116=$U$2),0),2),"")</f>
        <v/>
      </c>
      <c r="AF12" s="3" t="str">
        <f t="array" ref="AF12">IFERROR(INDEX($AK$17:$AN$116,MATCH(1,(AF8&gt;=$AM$17:$AM$116)*($AN$17:$AN$116&gt;=AF8)*($AK$17:$AK$116=$U$2),0),2),"")</f>
        <v/>
      </c>
      <c r="AG12" s="3" t="str">
        <f t="array" ref="AG12">IFERROR(INDEX($AK$17:$AN$116,MATCH(1,(AG8&gt;=$AM$17:$AM$116)*($AN$17:$AN$116&gt;=AG8)*($AK$17:$AK$116=$U$2),0),2),"")</f>
        <v/>
      </c>
      <c r="AH12" s="648">
        <f>COUNTIF(C12:AG12,AI12)</f>
        <v>0</v>
      </c>
      <c r="AI12" s="639" t="s">
        <v>362</v>
      </c>
      <c r="AJ12" s="13"/>
      <c r="AL12" s="13"/>
      <c r="AM12" s="13"/>
      <c r="AN12" s="13"/>
      <c r="AO12" s="1507" t="s">
        <v>491</v>
      </c>
      <c r="AP12" s="13"/>
      <c r="AQ12" s="13"/>
      <c r="AR12" s="13"/>
      <c r="AS12" s="13"/>
      <c r="AT12" s="13"/>
      <c r="AU12" s="70"/>
      <c r="AV12" s="57"/>
      <c r="AW12" s="57"/>
      <c r="AX12" s="57"/>
      <c r="AY12" s="54"/>
      <c r="AZ12" s="54"/>
      <c r="BA12" s="54"/>
      <c r="BB12" s="55"/>
      <c r="BC12" s="56"/>
      <c r="BD12" s="56"/>
      <c r="BE12" s="56"/>
      <c r="BF12" s="56"/>
      <c r="BH12" s="290"/>
      <c r="BI12" s="295"/>
      <c r="BJ12" s="292"/>
      <c r="BK12" s="292"/>
      <c r="BL12" s="292"/>
      <c r="BM12" s="292"/>
      <c r="BN12" s="292"/>
      <c r="BO12" s="295"/>
      <c r="BP12" s="295"/>
      <c r="BQ12" s="295"/>
      <c r="BR12" s="292"/>
      <c r="BS12" s="292"/>
      <c r="BT12" s="295"/>
      <c r="BU12" s="292"/>
      <c r="BV12" s="292"/>
      <c r="BW12" s="310"/>
      <c r="BZ12" s="359">
        <f t="shared" si="0"/>
        <v>43983</v>
      </c>
      <c r="CA12" s="360">
        <f>CA11+1</f>
        <v>43983</v>
      </c>
      <c r="CB12" s="361" t="s">
        <v>732</v>
      </c>
      <c r="CC12" s="563"/>
      <c r="CD12" s="362" t="s">
        <v>729</v>
      </c>
      <c r="CE12" s="363">
        <f>CE8+39</f>
        <v>44707</v>
      </c>
    </row>
    <row r="13" spans="1:83" ht="16.5" customHeight="1" thickBot="1" x14ac:dyDescent="0.3">
      <c r="A13" s="678"/>
      <c r="B13" s="681">
        <f>COUNTA(C13:AG13)</f>
        <v>10</v>
      </c>
      <c r="C13" s="37" t="s">
        <v>37</v>
      </c>
      <c r="D13" s="94" t="s">
        <v>83</v>
      </c>
      <c r="E13" s="37" t="s">
        <v>37</v>
      </c>
      <c r="F13" s="37" t="s">
        <v>37</v>
      </c>
      <c r="G13" s="94" t="s">
        <v>92</v>
      </c>
      <c r="H13" s="37" t="s">
        <v>37</v>
      </c>
      <c r="I13" s="42"/>
      <c r="J13" s="42"/>
      <c r="K13" s="42"/>
      <c r="L13" s="42"/>
      <c r="M13" s="42"/>
      <c r="N13" s="42"/>
      <c r="O13" s="42"/>
      <c r="P13" s="42"/>
      <c r="Q13" s="42"/>
      <c r="R13" s="42"/>
      <c r="S13" s="37" t="s">
        <v>37</v>
      </c>
      <c r="T13" s="37" t="s">
        <v>37</v>
      </c>
      <c r="U13" s="37" t="s">
        <v>37</v>
      </c>
      <c r="V13" s="37" t="s">
        <v>37</v>
      </c>
      <c r="W13" s="42"/>
      <c r="X13" s="42"/>
      <c r="Y13" s="42"/>
      <c r="Z13" s="42"/>
      <c r="AA13" s="42"/>
      <c r="AB13" s="42"/>
      <c r="AC13" s="42"/>
      <c r="AD13" s="42"/>
      <c r="AE13" s="42"/>
      <c r="AF13" s="42"/>
      <c r="AG13" s="42"/>
      <c r="AH13" s="677"/>
      <c r="AI13" s="678"/>
      <c r="AJ13" s="13"/>
      <c r="AK13" s="13"/>
      <c r="AL13" s="1721" t="s">
        <v>1055</v>
      </c>
      <c r="AM13" s="13"/>
      <c r="AN13" s="13"/>
      <c r="AO13" s="1507"/>
      <c r="AP13" s="13"/>
      <c r="AQ13" s="13"/>
      <c r="AR13" s="13"/>
      <c r="AS13" s="13"/>
      <c r="AT13" s="13"/>
      <c r="AU13" s="94" t="s">
        <v>81</v>
      </c>
      <c r="AV13" s="50">
        <v>0.33333333333333331</v>
      </c>
      <c r="AW13" s="50">
        <v>0.5</v>
      </c>
      <c r="AX13" s="51"/>
      <c r="AY13" s="52">
        <f>IF(AW13-AV13=0,0,(AW13-AV13)-(AX13*TIMEVALUE("00:30")))</f>
        <v>0.16666666666666669</v>
      </c>
      <c r="AZ13" s="53" t="s">
        <v>64</v>
      </c>
      <c r="BA13" s="54"/>
      <c r="BB13" s="55"/>
      <c r="BC13" s="56"/>
      <c r="BD13" s="56"/>
      <c r="BE13" s="56"/>
      <c r="BF13" s="56"/>
      <c r="BH13" s="290"/>
      <c r="BI13" s="295"/>
      <c r="BJ13" s="311"/>
      <c r="BK13" s="312"/>
      <c r="BL13" s="295"/>
      <c r="BM13" s="295"/>
      <c r="BN13" s="295"/>
      <c r="BO13" s="295"/>
      <c r="BP13" s="295"/>
      <c r="BQ13" s="295"/>
      <c r="BR13" s="295"/>
      <c r="BS13" s="295"/>
      <c r="BT13" s="295"/>
      <c r="BU13" s="295"/>
      <c r="BV13" s="295"/>
      <c r="BW13" s="313"/>
      <c r="BZ13" s="359">
        <f t="shared" si="0"/>
        <v>44026</v>
      </c>
      <c r="CA13" s="360">
        <f>DATE(BZ4,7,14)</f>
        <v>44026</v>
      </c>
      <c r="CB13" s="361" t="s">
        <v>733</v>
      </c>
      <c r="CC13" s="563"/>
      <c r="CD13" s="362" t="s">
        <v>731</v>
      </c>
      <c r="CE13" s="363">
        <f>CE8+49</f>
        <v>44717</v>
      </c>
    </row>
    <row r="14" spans="1:83" ht="14.25" customHeight="1" x14ac:dyDescent="0.25">
      <c r="A14" s="651"/>
      <c r="B14" s="680">
        <f>DATE($C$2,MONTH(1&amp;"/"&amp;C15),1)</f>
        <v>43862</v>
      </c>
      <c r="C14" s="14">
        <f>B14</f>
        <v>43862</v>
      </c>
      <c r="D14" s="14">
        <f>IFERROR(IF(C14+1&gt;$B$15,"",C14+1),"")</f>
        <v>43863</v>
      </c>
      <c r="E14" s="14">
        <f t="shared" ref="E14:AG14" si="5">IFERROR(IF(D14+1&gt;$B$15,"",D14+1),"")</f>
        <v>43864</v>
      </c>
      <c r="F14" s="14">
        <f t="shared" si="5"/>
        <v>43865</v>
      </c>
      <c r="G14" s="14">
        <f t="shared" si="5"/>
        <v>43866</v>
      </c>
      <c r="H14" s="14">
        <f t="shared" si="5"/>
        <v>43867</v>
      </c>
      <c r="I14" s="14">
        <f t="shared" si="5"/>
        <v>43868</v>
      </c>
      <c r="J14" s="14">
        <f t="shared" si="5"/>
        <v>43869</v>
      </c>
      <c r="K14" s="14">
        <f t="shared" si="5"/>
        <v>43870</v>
      </c>
      <c r="L14" s="14">
        <f t="shared" si="5"/>
        <v>43871</v>
      </c>
      <c r="M14" s="14">
        <f t="shared" si="5"/>
        <v>43872</v>
      </c>
      <c r="N14" s="14">
        <f t="shared" si="5"/>
        <v>43873</v>
      </c>
      <c r="O14" s="14">
        <f t="shared" si="5"/>
        <v>43874</v>
      </c>
      <c r="P14" s="14">
        <f t="shared" si="5"/>
        <v>43875</v>
      </c>
      <c r="Q14" s="14">
        <f t="shared" si="5"/>
        <v>43876</v>
      </c>
      <c r="R14" s="14">
        <f t="shared" si="5"/>
        <v>43877</v>
      </c>
      <c r="S14" s="14">
        <f t="shared" si="5"/>
        <v>43878</v>
      </c>
      <c r="T14" s="14">
        <f t="shared" si="5"/>
        <v>43879</v>
      </c>
      <c r="U14" s="14">
        <f t="shared" si="5"/>
        <v>43880</v>
      </c>
      <c r="V14" s="14">
        <f t="shared" si="5"/>
        <v>43881</v>
      </c>
      <c r="W14" s="14">
        <f t="shared" si="5"/>
        <v>43882</v>
      </c>
      <c r="X14" s="14">
        <f t="shared" si="5"/>
        <v>43883</v>
      </c>
      <c r="Y14" s="14">
        <f t="shared" si="5"/>
        <v>43884</v>
      </c>
      <c r="Z14" s="14">
        <f t="shared" si="5"/>
        <v>43885</v>
      </c>
      <c r="AA14" s="14">
        <f t="shared" si="5"/>
        <v>43886</v>
      </c>
      <c r="AB14" s="14">
        <f t="shared" si="5"/>
        <v>43887</v>
      </c>
      <c r="AC14" s="14">
        <f t="shared" si="5"/>
        <v>43888</v>
      </c>
      <c r="AD14" s="14">
        <f t="shared" si="5"/>
        <v>43889</v>
      </c>
      <c r="AE14" s="14">
        <f t="shared" si="5"/>
        <v>43890</v>
      </c>
      <c r="AF14" s="14" t="str">
        <f t="shared" si="5"/>
        <v/>
      </c>
      <c r="AG14" s="14" t="str">
        <f t="shared" si="5"/>
        <v/>
      </c>
      <c r="AH14" s="647">
        <f>COUNTIF(C18:AG18,AI14)</f>
        <v>0</v>
      </c>
      <c r="AI14" s="640" t="s">
        <v>8</v>
      </c>
      <c r="AJ14" s="13"/>
      <c r="AK14" s="623" t="s">
        <v>828</v>
      </c>
      <c r="AL14" s="13"/>
      <c r="AM14" s="13"/>
      <c r="AN14" s="13"/>
      <c r="AO14" s="13"/>
      <c r="AP14" s="13"/>
      <c r="AQ14" s="1719" t="s">
        <v>833</v>
      </c>
      <c r="AR14" s="1719"/>
      <c r="AS14" s="13"/>
      <c r="AT14" s="13"/>
      <c r="AU14" s="70"/>
      <c r="AV14" s="57"/>
      <c r="AW14" s="57"/>
      <c r="AX14" s="57"/>
      <c r="AY14" s="54"/>
      <c r="AZ14" s="54"/>
      <c r="BA14" s="54"/>
      <c r="BB14" s="55"/>
      <c r="BC14" s="56"/>
      <c r="BD14" s="56"/>
      <c r="BE14" s="56"/>
      <c r="BF14" s="56"/>
      <c r="BH14" s="290"/>
      <c r="BI14" s="295"/>
      <c r="BJ14" s="314" t="s">
        <v>658</v>
      </c>
      <c r="BK14" s="315" t="s">
        <v>659</v>
      </c>
      <c r="BL14" s="316"/>
      <c r="BM14" s="316"/>
      <c r="BN14" s="316"/>
      <c r="BO14" s="316"/>
      <c r="BP14" s="316"/>
      <c r="BQ14" s="316"/>
      <c r="BR14" s="317" t="s">
        <v>7</v>
      </c>
      <c r="BS14" s="315" t="s">
        <v>370</v>
      </c>
      <c r="BT14" s="292"/>
      <c r="BU14" s="294"/>
      <c r="BV14" s="294"/>
      <c r="BW14" s="313"/>
      <c r="BZ14" s="359">
        <f t="shared" si="0"/>
        <v>44058</v>
      </c>
      <c r="CA14" s="360">
        <f>DATE(BZ4,8,15)</f>
        <v>44058</v>
      </c>
      <c r="CB14" s="361" t="s">
        <v>586</v>
      </c>
      <c r="CC14" s="563"/>
      <c r="CD14" s="362" t="s">
        <v>732</v>
      </c>
      <c r="CE14" s="363">
        <f>CE8+50</f>
        <v>44718</v>
      </c>
    </row>
    <row r="15" spans="1:83" ht="21.75" thickBot="1" x14ac:dyDescent="0.4">
      <c r="A15" s="652"/>
      <c r="B15" s="21">
        <f>EOMONTH(B14,0)</f>
        <v>43890</v>
      </c>
      <c r="C15" s="1479" t="s">
        <v>1038</v>
      </c>
      <c r="D15" s="1480"/>
      <c r="E15" s="1480"/>
      <c r="F15" s="1480"/>
      <c r="G15" s="1480"/>
      <c r="H15" s="1480"/>
      <c r="I15" s="1480"/>
      <c r="J15" s="1480"/>
      <c r="K15" s="1480"/>
      <c r="L15" s="1480"/>
      <c r="M15" s="1480"/>
      <c r="N15" s="1480"/>
      <c r="O15" s="1480"/>
      <c r="P15" s="1480"/>
      <c r="Q15" s="1480"/>
      <c r="R15" s="1480"/>
      <c r="S15" s="1480"/>
      <c r="T15" s="1480"/>
      <c r="U15" s="1480"/>
      <c r="V15" s="1480"/>
      <c r="W15" s="1480"/>
      <c r="X15" s="1480"/>
      <c r="Y15" s="1480"/>
      <c r="Z15" s="1480"/>
      <c r="AA15" s="1480"/>
      <c r="AB15" s="1480"/>
      <c r="AC15" s="1480"/>
      <c r="AD15" s="1480"/>
      <c r="AE15" s="1480"/>
      <c r="AF15" s="1480"/>
      <c r="AG15" s="1481"/>
      <c r="AH15" s="648">
        <f>COUNTIF(C18:AG18,AI15)</f>
        <v>0</v>
      </c>
      <c r="AI15" s="629" t="s">
        <v>360</v>
      </c>
      <c r="AJ15" s="13"/>
      <c r="AK15" s="1718" t="s">
        <v>798</v>
      </c>
      <c r="AL15" s="1718"/>
      <c r="AM15" s="1718"/>
      <c r="AN15" s="1718"/>
      <c r="AO15" s="1718"/>
      <c r="AP15" s="13"/>
      <c r="AQ15" t="s">
        <v>10</v>
      </c>
      <c r="AR15" t="s">
        <v>11</v>
      </c>
      <c r="AS15" s="13"/>
      <c r="AT15" s="13"/>
      <c r="AU15" s="94" t="s">
        <v>82</v>
      </c>
      <c r="AV15" s="50">
        <v>0.29166666666666669</v>
      </c>
      <c r="AW15" s="50">
        <v>0.5625</v>
      </c>
      <c r="AX15" s="51">
        <v>1</v>
      </c>
      <c r="AY15" s="52">
        <f>IF(AW15-AV15=0,0,(AW15-AV15)-(AX15*TIMEVALUE("00:30")))</f>
        <v>0.24999999999999997</v>
      </c>
      <c r="AZ15" s="53" t="s">
        <v>122</v>
      </c>
      <c r="BA15" s="54"/>
      <c r="BB15" s="55"/>
      <c r="BC15" s="56"/>
      <c r="BD15" s="56"/>
      <c r="BE15" s="56"/>
      <c r="BF15" s="56"/>
      <c r="BH15" s="290"/>
      <c r="BI15" s="295"/>
      <c r="BJ15" s="314" t="s">
        <v>660</v>
      </c>
      <c r="BK15" s="59" t="s">
        <v>661</v>
      </c>
      <c r="BL15" s="294"/>
      <c r="BM15" s="294"/>
      <c r="BN15" s="294"/>
      <c r="BO15" s="292"/>
      <c r="BP15" s="292"/>
      <c r="BQ15" s="292"/>
      <c r="BR15" s="318" t="s">
        <v>8</v>
      </c>
      <c r="BS15" s="315" t="s">
        <v>367</v>
      </c>
      <c r="BT15" s="292"/>
      <c r="BU15" s="294"/>
      <c r="BV15" s="294"/>
      <c r="BW15" s="313"/>
      <c r="BZ15" s="359">
        <f t="shared" si="0"/>
        <v>44136</v>
      </c>
      <c r="CA15" s="360">
        <f>DATE(BZ4,11,1)</f>
        <v>44136</v>
      </c>
      <c r="CB15" s="361" t="s">
        <v>735</v>
      </c>
      <c r="CC15" s="563"/>
      <c r="CD15" s="362" t="s">
        <v>733</v>
      </c>
      <c r="CE15" s="363">
        <f>DATE(CD4,7,14)</f>
        <v>44756</v>
      </c>
    </row>
    <row r="16" spans="1:83" ht="18.75" x14ac:dyDescent="0.25">
      <c r="A16" s="654" t="s">
        <v>662</v>
      </c>
      <c r="B16" s="657">
        <f>COUNTIF(C18:AG18,A16)</f>
        <v>4</v>
      </c>
      <c r="C16" s="6">
        <f t="shared" ref="C16:AG16" si="6">IFERROR(DAY(C14),"")</f>
        <v>1</v>
      </c>
      <c r="D16" s="3">
        <f t="shared" si="6"/>
        <v>2</v>
      </c>
      <c r="E16" s="3">
        <f t="shared" si="6"/>
        <v>3</v>
      </c>
      <c r="F16" s="3">
        <f t="shared" si="6"/>
        <v>4</v>
      </c>
      <c r="G16" s="3">
        <f t="shared" si="6"/>
        <v>5</v>
      </c>
      <c r="H16" s="3">
        <f t="shared" si="6"/>
        <v>6</v>
      </c>
      <c r="I16" s="3">
        <f t="shared" si="6"/>
        <v>7</v>
      </c>
      <c r="J16" s="3">
        <f t="shared" si="6"/>
        <v>8</v>
      </c>
      <c r="K16" s="3">
        <f t="shared" si="6"/>
        <v>9</v>
      </c>
      <c r="L16" s="3">
        <f t="shared" si="6"/>
        <v>10</v>
      </c>
      <c r="M16" s="3">
        <f t="shared" si="6"/>
        <v>11</v>
      </c>
      <c r="N16" s="3">
        <f t="shared" si="6"/>
        <v>12</v>
      </c>
      <c r="O16" s="3">
        <f t="shared" si="6"/>
        <v>13</v>
      </c>
      <c r="P16" s="3">
        <f t="shared" si="6"/>
        <v>14</v>
      </c>
      <c r="Q16" s="3">
        <f t="shared" si="6"/>
        <v>15</v>
      </c>
      <c r="R16" s="3">
        <f t="shared" si="6"/>
        <v>16</v>
      </c>
      <c r="S16" s="3">
        <f t="shared" si="6"/>
        <v>17</v>
      </c>
      <c r="T16" s="3">
        <f t="shared" si="6"/>
        <v>18</v>
      </c>
      <c r="U16" s="3">
        <f t="shared" si="6"/>
        <v>19</v>
      </c>
      <c r="V16" s="3">
        <f t="shared" si="6"/>
        <v>20</v>
      </c>
      <c r="W16" s="3">
        <f t="shared" si="6"/>
        <v>21</v>
      </c>
      <c r="X16" s="3">
        <f t="shared" si="6"/>
        <v>22</v>
      </c>
      <c r="Y16" s="3">
        <f t="shared" si="6"/>
        <v>23</v>
      </c>
      <c r="Z16" s="3">
        <f t="shared" si="6"/>
        <v>24</v>
      </c>
      <c r="AA16" s="3">
        <f t="shared" si="6"/>
        <v>25</v>
      </c>
      <c r="AB16" s="3">
        <f t="shared" si="6"/>
        <v>26</v>
      </c>
      <c r="AC16" s="3">
        <f t="shared" si="6"/>
        <v>27</v>
      </c>
      <c r="AD16" s="3">
        <f t="shared" si="6"/>
        <v>28</v>
      </c>
      <c r="AE16" s="3">
        <f t="shared" si="6"/>
        <v>29</v>
      </c>
      <c r="AF16" s="3" t="str">
        <f t="shared" si="6"/>
        <v/>
      </c>
      <c r="AG16" s="7" t="str">
        <f t="shared" si="6"/>
        <v/>
      </c>
      <c r="AH16" s="648">
        <f>COUNTIF(C18:AG18,AI16)</f>
        <v>0</v>
      </c>
      <c r="AI16" s="10" t="s">
        <v>6</v>
      </c>
      <c r="AJ16" s="13"/>
      <c r="AK16" t="s">
        <v>0</v>
      </c>
      <c r="AL16" s="1720" t="s">
        <v>3</v>
      </c>
      <c r="AM16" s="245" t="s">
        <v>1</v>
      </c>
      <c r="AN16" s="245" t="s">
        <v>2</v>
      </c>
      <c r="AO16" s="245" t="s">
        <v>54</v>
      </c>
      <c r="AP16" s="13"/>
      <c r="AQ16" s="597" t="s">
        <v>369</v>
      </c>
      <c r="AR16" s="630" t="s">
        <v>662</v>
      </c>
      <c r="AS16" s="13"/>
      <c r="AT16" s="13"/>
      <c r="AU16"/>
      <c r="AV16"/>
      <c r="AW16"/>
      <c r="AX16"/>
      <c r="AY16"/>
      <c r="AZ16"/>
      <c r="BA16"/>
      <c r="BB16"/>
      <c r="BC16"/>
      <c r="BD16"/>
      <c r="BE16"/>
      <c r="BF16"/>
      <c r="BH16" s="290"/>
      <c r="BI16" s="295"/>
      <c r="BJ16" s="314" t="s">
        <v>371</v>
      </c>
      <c r="BK16" s="59" t="s">
        <v>372</v>
      </c>
      <c r="BL16" s="294"/>
      <c r="BM16" s="294"/>
      <c r="BN16" s="294"/>
      <c r="BO16" s="292"/>
      <c r="BP16" s="292"/>
      <c r="BQ16" s="292"/>
      <c r="BR16" s="319" t="s">
        <v>364</v>
      </c>
      <c r="BS16" s="315" t="s">
        <v>365</v>
      </c>
      <c r="BT16" s="292"/>
      <c r="BU16" s="294"/>
      <c r="BV16" s="294"/>
      <c r="BW16" s="313"/>
      <c r="BZ16" s="359">
        <f t="shared" si="0"/>
        <v>44146</v>
      </c>
      <c r="CA16" s="360">
        <f>DATE(BZ4,11,11)</f>
        <v>44146</v>
      </c>
      <c r="CB16" s="361" t="s">
        <v>587</v>
      </c>
      <c r="CC16" s="563"/>
      <c r="CD16" s="362" t="s">
        <v>586</v>
      </c>
      <c r="CE16" s="363">
        <f>DATE(CD4,8,15)</f>
        <v>44788</v>
      </c>
    </row>
    <row r="17" spans="1:83" ht="19.5" thickBot="1" x14ac:dyDescent="0.3">
      <c r="A17" s="655" t="s">
        <v>800</v>
      </c>
      <c r="B17" s="658">
        <f>COUNTIF(C18:AG18,A17)</f>
        <v>0</v>
      </c>
      <c r="C17" s="5">
        <f t="shared" ref="C17:AC17" si="7">IF(C14="","",WEEKDAY(C14,1))</f>
        <v>7</v>
      </c>
      <c r="D17" s="8">
        <f t="shared" si="7"/>
        <v>1</v>
      </c>
      <c r="E17" s="8">
        <f t="shared" si="7"/>
        <v>2</v>
      </c>
      <c r="F17" s="8">
        <f t="shared" si="7"/>
        <v>3</v>
      </c>
      <c r="G17" s="8">
        <f t="shared" si="7"/>
        <v>4</v>
      </c>
      <c r="H17" s="8">
        <f t="shared" si="7"/>
        <v>5</v>
      </c>
      <c r="I17" s="8">
        <f t="shared" si="7"/>
        <v>6</v>
      </c>
      <c r="J17" s="8">
        <f t="shared" si="7"/>
        <v>7</v>
      </c>
      <c r="K17" s="8">
        <f t="shared" si="7"/>
        <v>1</v>
      </c>
      <c r="L17" s="8">
        <f t="shared" si="7"/>
        <v>2</v>
      </c>
      <c r="M17" s="8">
        <f t="shared" si="7"/>
        <v>3</v>
      </c>
      <c r="N17" s="8">
        <f t="shared" si="7"/>
        <v>4</v>
      </c>
      <c r="O17" s="8">
        <f t="shared" si="7"/>
        <v>5</v>
      </c>
      <c r="P17" s="8">
        <f t="shared" si="7"/>
        <v>6</v>
      </c>
      <c r="Q17" s="8">
        <f t="shared" si="7"/>
        <v>7</v>
      </c>
      <c r="R17" s="8">
        <f t="shared" si="7"/>
        <v>1</v>
      </c>
      <c r="S17" s="8">
        <f t="shared" si="7"/>
        <v>2</v>
      </c>
      <c r="T17" s="8">
        <f t="shared" si="7"/>
        <v>3</v>
      </c>
      <c r="U17" s="8">
        <f t="shared" si="7"/>
        <v>4</v>
      </c>
      <c r="V17" s="8">
        <f t="shared" si="7"/>
        <v>5</v>
      </c>
      <c r="W17" s="8">
        <f t="shared" si="7"/>
        <v>6</v>
      </c>
      <c r="X17" s="8">
        <f t="shared" si="7"/>
        <v>7</v>
      </c>
      <c r="Y17" s="8">
        <f t="shared" si="7"/>
        <v>1</v>
      </c>
      <c r="Z17" s="8">
        <f t="shared" si="7"/>
        <v>2</v>
      </c>
      <c r="AA17" s="8">
        <f t="shared" si="7"/>
        <v>3</v>
      </c>
      <c r="AB17" s="8">
        <f t="shared" si="7"/>
        <v>4</v>
      </c>
      <c r="AC17" s="8">
        <f t="shared" si="7"/>
        <v>5</v>
      </c>
      <c r="AD17" s="8">
        <f>IF(AD14="","",WEEKDAY(AD14,1))</f>
        <v>6</v>
      </c>
      <c r="AE17" s="8">
        <f>IF(AE14="","",WEEKDAY(AE14,1))</f>
        <v>7</v>
      </c>
      <c r="AF17" s="8" t="str">
        <f t="shared" ref="AF17:AG17" si="8">IF(AF14="","",WEEKDAY(AF14,1))</f>
        <v/>
      </c>
      <c r="AG17" s="9" t="str">
        <f t="shared" si="8"/>
        <v/>
      </c>
      <c r="AH17" s="648">
        <f>COUNTIF(C18:AG18,AI17)</f>
        <v>0</v>
      </c>
      <c r="AI17" s="633" t="s">
        <v>799</v>
      </c>
      <c r="AJ17" s="13">
        <v>1</v>
      </c>
      <c r="AK17" t="s">
        <v>4</v>
      </c>
      <c r="AL17" s="630" t="s">
        <v>662</v>
      </c>
      <c r="AM17" s="31">
        <v>43862</v>
      </c>
      <c r="AN17" s="31">
        <v>43865</v>
      </c>
      <c r="AO17" s="635">
        <f>Absences268101214[[#This Row],[debut]]</f>
        <v>43862</v>
      </c>
      <c r="AP17" s="13"/>
      <c r="AQ17" s="608" t="s">
        <v>370</v>
      </c>
      <c r="AR17" s="631" t="s">
        <v>800</v>
      </c>
      <c r="AS17" s="13"/>
      <c r="AT17" s="13"/>
      <c r="AU17" s="94" t="s">
        <v>83</v>
      </c>
      <c r="AV17" s="50">
        <v>0.375</v>
      </c>
      <c r="AW17" s="50">
        <v>0.54166666666666663</v>
      </c>
      <c r="AX17" s="51">
        <v>0</v>
      </c>
      <c r="AY17" s="52">
        <f>IF(AW17-AV17=0,0,(AW17-AV17)-(AX17*TIMEVALUE("00:30")))</f>
        <v>0.16666666666666663</v>
      </c>
      <c r="AZ17" s="53" t="s">
        <v>65</v>
      </c>
      <c r="BA17" s="54"/>
      <c r="BB17" s="55"/>
      <c r="BC17" s="56"/>
      <c r="BD17" s="56"/>
      <c r="BE17" s="56"/>
      <c r="BF17" s="56"/>
      <c r="BH17" s="290"/>
      <c r="BI17" s="295"/>
      <c r="BJ17" s="320" t="s">
        <v>354</v>
      </c>
      <c r="BK17" s="59" t="s">
        <v>355</v>
      </c>
      <c r="BL17" s="294"/>
      <c r="BM17" s="294"/>
      <c r="BN17" s="294"/>
      <c r="BO17" s="292"/>
      <c r="BP17" s="292"/>
      <c r="BQ17" s="292"/>
      <c r="BR17" s="321" t="s">
        <v>373</v>
      </c>
      <c r="BS17" s="59" t="s">
        <v>374</v>
      </c>
      <c r="BT17" s="292"/>
      <c r="BU17" s="294"/>
      <c r="BV17" s="294"/>
      <c r="BW17" s="313"/>
      <c r="BZ17" s="359">
        <f t="shared" si="0"/>
        <v>44190</v>
      </c>
      <c r="CA17" s="360">
        <f>DATE(BZ4,12,25)</f>
        <v>44190</v>
      </c>
      <c r="CB17" s="361" t="s">
        <v>723</v>
      </c>
      <c r="CC17" s="563"/>
      <c r="CD17" s="362" t="s">
        <v>735</v>
      </c>
      <c r="CE17" s="363">
        <f>DATE(CD4,11,1)</f>
        <v>44866</v>
      </c>
    </row>
    <row r="18" spans="1:83" ht="18.75" x14ac:dyDescent="0.25">
      <c r="A18" s="679" t="s">
        <v>7</v>
      </c>
      <c r="B18" s="658">
        <f>COUNTIF(C18:AG18,A18)</f>
        <v>0</v>
      </c>
      <c r="C18" s="6" t="str">
        <f t="array" ref="C18">IFERROR(INDEX($AK$17:$AN$116,MATCH(1,(C14&gt;=$AM$17:$AM$116)*($AN$17:$AN$116&gt;=C14)*($AK$17:$AK$116=$U$2),0),2),"")</f>
        <v>RH</v>
      </c>
      <c r="D18" s="3" t="str">
        <f t="array" ref="D18">IFERROR(INDEX($AK$17:$AN$116,MATCH(1,(D14&gt;=$AM$17:$AM$116)*($AN$17:$AN$116&gt;=D14)*($AK$17:$AK$116=$U$2),0),2),"")</f>
        <v>RH</v>
      </c>
      <c r="E18" s="3" t="str">
        <f t="array" ref="E18">IFERROR(INDEX($AK$17:$AN$116,MATCH(1,(E14&gt;=$AM$17:$AM$116)*($AN$17:$AN$116&gt;=E14)*($AK$17:$AK$116=$U$2),0),2),"")</f>
        <v>RH</v>
      </c>
      <c r="F18" s="3" t="str">
        <f t="array" ref="F18">IFERROR(INDEX($AK$17:$AN$116,MATCH(1,(F14&gt;=$AM$17:$AM$116)*($AN$17:$AN$116&gt;=F14)*($AK$17:$AK$116=$U$2),0),2),"")</f>
        <v>RH</v>
      </c>
      <c r="G18" s="3" t="str">
        <f t="array" ref="G18">IFERROR(INDEX($AK$17:$AN$116,MATCH(1,(G14&gt;=$AM$17:$AM$116)*($AN$17:$AN$116&gt;=G14)*($AK$17:$AK$116=$U$2),0),2),"")</f>
        <v/>
      </c>
      <c r="H18" s="3" t="str">
        <f t="array" ref="H18">IFERROR(INDEX($AK$17:$AN$116,MATCH(1,(H14&gt;=$AM$17:$AM$116)*($AN$17:$AN$116&gt;=H14)*($AK$17:$AK$116=$U$2),0),2),"")</f>
        <v/>
      </c>
      <c r="I18" s="3" t="str">
        <f t="array" ref="I18">IFERROR(INDEX($AK$17:$AN$116,MATCH(1,(I14&gt;=$AM$17:$AM$116)*($AN$17:$AN$116&gt;=I14)*($AK$17:$AK$116=$U$2),0),2),"")</f>
        <v/>
      </c>
      <c r="J18" s="3" t="str">
        <f t="array" ref="J18">IFERROR(INDEX($AK$17:$AN$116,MATCH(1,(J14&gt;=$AM$17:$AM$116)*($AN$17:$AN$116&gt;=J14)*($AK$17:$AK$116=$U$2),0),2),"")</f>
        <v/>
      </c>
      <c r="K18" s="3" t="str">
        <f t="array" ref="K18">IFERROR(INDEX($AK$17:$AN$116,MATCH(1,(K14&gt;=$AM$17:$AM$116)*($AN$17:$AN$116&gt;=K14)*($AK$17:$AK$116=$U$2),0),2),"")</f>
        <v/>
      </c>
      <c r="L18" s="3" t="str">
        <f t="array" ref="L18">IFERROR(INDEX($AK$17:$AN$116,MATCH(1,(L14&gt;=$AM$17:$AM$116)*($AN$17:$AN$116&gt;=L14)*($AK$17:$AK$116=$U$2),0),2),"")</f>
        <v/>
      </c>
      <c r="M18" s="3" t="str">
        <f t="array" ref="M18">IFERROR(INDEX($AK$17:$AN$116,MATCH(1,(M14&gt;=$AM$17:$AM$116)*($AN$17:$AN$116&gt;=M14)*($AK$17:$AK$116=$U$2),0),2),"")</f>
        <v/>
      </c>
      <c r="N18" s="3" t="str">
        <f t="array" ref="N18">IFERROR(INDEX($AK$17:$AN$116,MATCH(1,(N14&gt;=$AM$17:$AM$116)*($AN$17:$AN$116&gt;=N14)*($AK$17:$AK$116=$U$2),0),2),"")</f>
        <v/>
      </c>
      <c r="O18" s="3" t="str">
        <f t="array" ref="O18">IFERROR(INDEX($AK$17:$AN$116,MATCH(1,(O14&gt;=$AM$17:$AM$116)*($AN$17:$AN$116&gt;=O14)*($AK$17:$AK$116=$U$2),0),2),"")</f>
        <v/>
      </c>
      <c r="P18" s="3" t="str">
        <f t="array" ref="P18">IFERROR(INDEX($AK$17:$AN$116,MATCH(1,(P14&gt;=$AM$17:$AM$116)*($AN$17:$AN$116&gt;=P14)*($AK$17:$AK$116=$U$2),0),2),"")</f>
        <v/>
      </c>
      <c r="Q18" s="3" t="str">
        <f t="array" ref="Q18">IFERROR(INDEX($AK$17:$AN$116,MATCH(1,(Q14&gt;=$AM$17:$AM$116)*($AN$17:$AN$116&gt;=Q14)*($AK$17:$AK$116=$U$2),0),2),"")</f>
        <v/>
      </c>
      <c r="R18" s="3" t="str">
        <f t="array" ref="R18">IFERROR(INDEX($AK$17:$AN$116,MATCH(1,(R14&gt;=$AM$17:$AM$116)*($AN$17:$AN$116&gt;=R14)*($AK$17:$AK$116=$U$2),0),2),"")</f>
        <v/>
      </c>
      <c r="S18" s="3" t="str">
        <f t="array" ref="S18">IFERROR(INDEX($AK$17:$AN$116,MATCH(1,(S14&gt;=$AM$17:$AM$116)*($AN$17:$AN$116&gt;=S14)*($AK$17:$AK$116=$U$2),0),2),"")</f>
        <v/>
      </c>
      <c r="T18" s="3" t="str">
        <f t="array" ref="T18">IFERROR(INDEX($AK$17:$AN$116,MATCH(1,(T14&gt;=$AM$17:$AM$116)*($AN$17:$AN$116&gt;=T14)*($AK$17:$AK$116=$U$2),0),2),"")</f>
        <v/>
      </c>
      <c r="U18" s="3" t="str">
        <f t="array" ref="U18">IFERROR(INDEX($AK$17:$AN$116,MATCH(1,(U14&gt;=$AM$17:$AM$116)*($AN$17:$AN$116&gt;=U14)*($AK$17:$AK$116=$U$2),0),2),"")</f>
        <v/>
      </c>
      <c r="V18" s="3" t="str">
        <f t="array" ref="V18">IFERROR(INDEX($AK$17:$AN$116,MATCH(1,(V14&gt;=$AM$17:$AM$116)*($AN$17:$AN$116&gt;=V14)*($AK$17:$AK$116=$U$2),0),2),"")</f>
        <v/>
      </c>
      <c r="W18" s="3" t="str">
        <f t="array" ref="W18">IFERROR(INDEX($AK$17:$AN$116,MATCH(1,(W14&gt;=$AM$17:$AM$116)*($AN$17:$AN$116&gt;=W14)*($AK$17:$AK$116=$U$2),0),2),"")</f>
        <v/>
      </c>
      <c r="X18" s="3" t="str">
        <f t="array" ref="X18">IFERROR(INDEX($AK$17:$AN$116,MATCH(1,(X14&gt;=$AM$17:$AM$116)*($AN$17:$AN$116&gt;=X14)*($AK$17:$AK$116=$U$2),0),2),"")</f>
        <v/>
      </c>
      <c r="Y18" s="3" t="str">
        <f t="array" ref="Y18">IFERROR(INDEX($AK$17:$AN$116,MATCH(1,(Y14&gt;=$AM$17:$AM$116)*($AN$17:$AN$116&gt;=Y14)*($AK$17:$AK$116=$U$2),0),2),"")</f>
        <v/>
      </c>
      <c r="Z18" s="3" t="str">
        <f t="array" ref="Z18">IFERROR(INDEX($AK$17:$AN$116,MATCH(1,(Z14&gt;=$AM$17:$AM$116)*($AN$17:$AN$116&gt;=Z14)*($AK$17:$AK$116=$U$2),0),2),"")</f>
        <v/>
      </c>
      <c r="AA18" s="3" t="str">
        <f t="array" ref="AA18">IFERROR(INDEX($AK$17:$AN$116,MATCH(1,(AA14&gt;=$AM$17:$AM$116)*($AN$17:$AN$116&gt;=AA14)*($AK$17:$AK$116=$U$2),0),2),"")</f>
        <v/>
      </c>
      <c r="AB18" s="3" t="str">
        <f t="array" ref="AB18">IFERROR(INDEX($AK$17:$AN$116,MATCH(1,(AB14&gt;=$AM$17:$AM$116)*($AN$17:$AN$116&gt;=AB14)*($AK$17:$AK$116=$U$2),0),2),"")</f>
        <v/>
      </c>
      <c r="AC18" s="3" t="str">
        <f t="array" ref="AC18">IFERROR(INDEX($AK$17:$AN$116,MATCH(1,(AC14&gt;=$AM$17:$AM$116)*($AN$17:$AN$116&gt;=AC14)*($AK$17:$AK$116=$U$2),0),2),"")</f>
        <v/>
      </c>
      <c r="AD18" s="3" t="str">
        <f t="array" ref="AD18">IFERROR(INDEX($AK$17:$AN$116,MATCH(1,(AD14&gt;=$AM$17:$AM$116)*($AN$17:$AN$116&gt;=AD14)*($AK$17:$AK$116=$U$2),0),2),"")</f>
        <v/>
      </c>
      <c r="AE18" s="3" t="str">
        <f t="array" ref="AE18">IFERROR(INDEX($AK$17:$AN$116,MATCH(1,(AE14&gt;=$AM$17:$AM$116)*($AN$17:$AN$116&gt;=AE14)*($AK$17:$AK$116=$U$2),0),2),"")</f>
        <v/>
      </c>
      <c r="AF18" s="3" t="str">
        <f t="array" ref="AF18">IFERROR(INDEX($AK$17:$AN$116,MATCH(1,(AF14&gt;=$AM$17:$AM$116)*($AN$17:$AN$116&gt;=AF14)*($AK$17:$AK$116=$U$2),0),2),"")</f>
        <v/>
      </c>
      <c r="AG18" s="7" t="str">
        <f t="array" ref="AG18">IFERROR(INDEX($AK$17:$AN$116,MATCH(1,(AG14&gt;=$AM$17:$AM$116)*($AN$17:$AN$116&gt;=AG14)*($AK$17:$AK$116=$U$2),0),2),"")</f>
        <v/>
      </c>
      <c r="AH18" s="648">
        <f>COUNTIF(C18:AG18,AI18)</f>
        <v>0</v>
      </c>
      <c r="AI18" s="639" t="s">
        <v>362</v>
      </c>
      <c r="AJ18" s="13">
        <v>2</v>
      </c>
      <c r="AK18" t="s">
        <v>5</v>
      </c>
      <c r="AL18" s="631" t="s">
        <v>800</v>
      </c>
      <c r="AM18" s="31">
        <v>43897</v>
      </c>
      <c r="AN18" s="31">
        <v>43902</v>
      </c>
      <c r="AO18" s="635">
        <f>Absences268101214[[#This Row],[debut]]</f>
        <v>43897</v>
      </c>
      <c r="AP18" s="13"/>
      <c r="AQ18" s="597" t="s">
        <v>374</v>
      </c>
      <c r="AR18" s="632" t="s">
        <v>7</v>
      </c>
      <c r="AS18" s="13"/>
      <c r="AT18" s="13"/>
      <c r="AU18" s="70"/>
      <c r="AV18" s="57"/>
      <c r="AW18" s="57"/>
      <c r="AX18" s="57"/>
      <c r="AY18" s="54"/>
      <c r="AZ18" s="54"/>
      <c r="BA18" s="54"/>
      <c r="BB18" s="55"/>
      <c r="BC18" s="56"/>
      <c r="BD18" s="56"/>
      <c r="BE18" s="56"/>
      <c r="BF18" s="56"/>
      <c r="BH18" s="290"/>
      <c r="BI18" s="295"/>
      <c r="BJ18" s="320" t="s">
        <v>360</v>
      </c>
      <c r="BK18" s="315" t="s">
        <v>361</v>
      </c>
      <c r="BL18" s="294"/>
      <c r="BM18" s="294"/>
      <c r="BN18" s="294"/>
      <c r="BO18" s="294"/>
      <c r="BP18" s="294"/>
      <c r="BQ18" s="294"/>
      <c r="BR18" s="321" t="s">
        <v>662</v>
      </c>
      <c r="BS18" s="315" t="s">
        <v>663</v>
      </c>
      <c r="BT18" s="292"/>
      <c r="BU18" s="294"/>
      <c r="BV18" s="294"/>
      <c r="BW18" s="313"/>
      <c r="BZ18" s="366">
        <f>BZ21</f>
        <v>44197</v>
      </c>
      <c r="CA18" s="367">
        <f>CA21</f>
        <v>44197</v>
      </c>
      <c r="CB18" s="368" t="s">
        <v>721</v>
      </c>
      <c r="CC18" s="563"/>
      <c r="CD18" s="362" t="s">
        <v>587</v>
      </c>
      <c r="CE18" s="363">
        <f>DATE(CD4,11,11)</f>
        <v>44876</v>
      </c>
    </row>
    <row r="19" spans="1:83" ht="16.5" customHeight="1" thickBot="1" x14ac:dyDescent="0.3">
      <c r="A19" s="678"/>
      <c r="B19" s="40">
        <f>COUNTA(C19:AG19)</f>
        <v>0</v>
      </c>
      <c r="C19" s="41"/>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677"/>
      <c r="AI19" s="678"/>
      <c r="AJ19" s="13">
        <v>3</v>
      </c>
      <c r="AK19" t="s">
        <v>5</v>
      </c>
      <c r="AL19" s="632" t="s">
        <v>7</v>
      </c>
      <c r="AM19" s="31">
        <v>43869</v>
      </c>
      <c r="AN19" s="31">
        <v>43876</v>
      </c>
      <c r="AO19" s="635">
        <f>Absences268101214[[#This Row],[debut]]</f>
        <v>43869</v>
      </c>
      <c r="AP19" s="13"/>
      <c r="AQ19" s="609" t="s">
        <v>367</v>
      </c>
      <c r="AR19" s="628" t="s">
        <v>8</v>
      </c>
      <c r="AS19" s="13"/>
      <c r="AT19" s="13"/>
      <c r="AU19" s="94" t="s">
        <v>84</v>
      </c>
      <c r="AV19" s="50">
        <v>0.33333333333333331</v>
      </c>
      <c r="AW19" s="50">
        <v>0.5</v>
      </c>
      <c r="AX19" s="51">
        <v>0</v>
      </c>
      <c r="AY19" s="52">
        <f>IF(AW19-AV19=0,0,(AW19-AV19)-(AX19*TIMEVALUE("00:30")))</f>
        <v>0.16666666666666669</v>
      </c>
      <c r="AZ19" s="53" t="s">
        <v>66</v>
      </c>
      <c r="BA19" s="54"/>
      <c r="BB19" s="55"/>
      <c r="BC19" s="56"/>
      <c r="BD19" s="56"/>
      <c r="BE19" s="56"/>
      <c r="BF19" s="56"/>
      <c r="BH19" s="290"/>
      <c r="BI19" s="295"/>
      <c r="BJ19" s="320" t="s">
        <v>112</v>
      </c>
      <c r="BK19" s="59" t="s">
        <v>353</v>
      </c>
      <c r="BL19" s="294"/>
      <c r="BM19" s="294"/>
      <c r="BN19" s="294"/>
      <c r="BO19" s="294"/>
      <c r="BP19" s="294"/>
      <c r="BQ19" s="294"/>
      <c r="BR19" s="322" t="s">
        <v>37</v>
      </c>
      <c r="BS19" s="292" t="s">
        <v>551</v>
      </c>
      <c r="BT19" s="292"/>
      <c r="BU19" s="294"/>
      <c r="BV19" s="294"/>
      <c r="BW19" s="313"/>
      <c r="BZ19" s="497"/>
      <c r="CA19" s="497"/>
      <c r="CB19" s="497"/>
      <c r="CC19" s="563"/>
      <c r="CD19" s="362" t="s">
        <v>723</v>
      </c>
      <c r="CE19" s="363">
        <f>DATE(CD4,12,25)</f>
        <v>44920</v>
      </c>
    </row>
    <row r="20" spans="1:83" ht="14.25" customHeight="1" thickBot="1" x14ac:dyDescent="0.3">
      <c r="A20" s="651"/>
      <c r="B20" s="20">
        <f>DATE($C$2,MONTH(1&amp;"/"&amp;C21),1)</f>
        <v>43891</v>
      </c>
      <c r="C20" s="14">
        <f>B20</f>
        <v>43891</v>
      </c>
      <c r="D20" s="14">
        <f>IFERROR(IF(C20+1&gt;$B$21,"",C20+1),"")</f>
        <v>43892</v>
      </c>
      <c r="E20" s="14">
        <f t="shared" ref="E20:AG20" si="9">IFERROR(IF(D20+1&gt;$B$21,"",D20+1),"")</f>
        <v>43893</v>
      </c>
      <c r="F20" s="14">
        <f t="shared" si="9"/>
        <v>43894</v>
      </c>
      <c r="G20" s="14">
        <f t="shared" si="9"/>
        <v>43895</v>
      </c>
      <c r="H20" s="14">
        <f t="shared" si="9"/>
        <v>43896</v>
      </c>
      <c r="I20" s="14">
        <f t="shared" si="9"/>
        <v>43897</v>
      </c>
      <c r="J20" s="14">
        <f t="shared" si="9"/>
        <v>43898</v>
      </c>
      <c r="K20" s="14">
        <f t="shared" si="9"/>
        <v>43899</v>
      </c>
      <c r="L20" s="14">
        <f t="shared" si="9"/>
        <v>43900</v>
      </c>
      <c r="M20" s="14">
        <f t="shared" si="9"/>
        <v>43901</v>
      </c>
      <c r="N20" s="14">
        <f t="shared" si="9"/>
        <v>43902</v>
      </c>
      <c r="O20" s="14">
        <f t="shared" si="9"/>
        <v>43903</v>
      </c>
      <c r="P20" s="14">
        <f t="shared" si="9"/>
        <v>43904</v>
      </c>
      <c r="Q20" s="14">
        <f t="shared" si="9"/>
        <v>43905</v>
      </c>
      <c r="R20" s="14">
        <f t="shared" si="9"/>
        <v>43906</v>
      </c>
      <c r="S20" s="14">
        <f t="shared" si="9"/>
        <v>43907</v>
      </c>
      <c r="T20" s="14">
        <f t="shared" si="9"/>
        <v>43908</v>
      </c>
      <c r="U20" s="14">
        <f t="shared" si="9"/>
        <v>43909</v>
      </c>
      <c r="V20" s="14">
        <f t="shared" si="9"/>
        <v>43910</v>
      </c>
      <c r="W20" s="14">
        <f t="shared" si="9"/>
        <v>43911</v>
      </c>
      <c r="X20" s="14">
        <f t="shared" si="9"/>
        <v>43912</v>
      </c>
      <c r="Y20" s="14">
        <f t="shared" si="9"/>
        <v>43913</v>
      </c>
      <c r="Z20" s="14">
        <f t="shared" si="9"/>
        <v>43914</v>
      </c>
      <c r="AA20" s="14">
        <f t="shared" si="9"/>
        <v>43915</v>
      </c>
      <c r="AB20" s="14">
        <f t="shared" si="9"/>
        <v>43916</v>
      </c>
      <c r="AC20" s="14">
        <f t="shared" si="9"/>
        <v>43917</v>
      </c>
      <c r="AD20" s="14">
        <f t="shared" si="9"/>
        <v>43918</v>
      </c>
      <c r="AE20" s="14">
        <f t="shared" si="9"/>
        <v>43919</v>
      </c>
      <c r="AF20" s="14">
        <f t="shared" si="9"/>
        <v>43920</v>
      </c>
      <c r="AG20" s="14">
        <f t="shared" si="9"/>
        <v>43921</v>
      </c>
      <c r="AH20" s="647">
        <f>COUNTIF(C24:AG24,AI20)</f>
        <v>0</v>
      </c>
      <c r="AI20" s="640" t="s">
        <v>8</v>
      </c>
      <c r="AJ20" s="13">
        <v>4</v>
      </c>
      <c r="AK20" t="s">
        <v>4</v>
      </c>
      <c r="AL20" s="628" t="s">
        <v>8</v>
      </c>
      <c r="AM20" s="32">
        <v>43958</v>
      </c>
      <c r="AN20" s="32">
        <v>43963</v>
      </c>
      <c r="AO20" s="635">
        <f>Absences268101214[[#This Row],[debut]]</f>
        <v>43958</v>
      </c>
      <c r="AP20" s="13"/>
      <c r="AQ20" s="595" t="s">
        <v>361</v>
      </c>
      <c r="AR20" s="629" t="s">
        <v>360</v>
      </c>
      <c r="AS20" s="13"/>
      <c r="AT20" s="13"/>
      <c r="AU20" s="70"/>
      <c r="AV20" s="57"/>
      <c r="AW20" s="57"/>
      <c r="AX20" s="57"/>
      <c r="AY20" s="54"/>
      <c r="AZ20" s="54"/>
      <c r="BA20" s="54"/>
      <c r="BB20" s="55"/>
      <c r="BC20" s="56"/>
      <c r="BD20" s="56"/>
      <c r="BE20" s="56"/>
      <c r="BF20" s="56"/>
      <c r="BH20" s="290"/>
      <c r="BI20" s="295"/>
      <c r="BJ20" s="323" t="s">
        <v>356</v>
      </c>
      <c r="BK20" s="315" t="s">
        <v>357</v>
      </c>
      <c r="BL20" s="294"/>
      <c r="BM20" s="294"/>
      <c r="BN20" s="294"/>
      <c r="BO20" s="294"/>
      <c r="BP20" s="294"/>
      <c r="BQ20" s="294"/>
      <c r="BR20" s="315"/>
      <c r="BS20" s="294"/>
      <c r="BT20" s="292"/>
      <c r="BU20" s="294"/>
      <c r="BV20" s="294"/>
      <c r="BW20" s="313"/>
      <c r="BZ20" s="1490">
        <f>BZ4+1</f>
        <v>2021</v>
      </c>
      <c r="CA20" s="1491"/>
      <c r="CB20" s="1492"/>
      <c r="CC20" s="563"/>
      <c r="CD20" s="369" t="s">
        <v>721</v>
      </c>
      <c r="CE20" s="370">
        <f>DATE(CD4+1,1,1)</f>
        <v>44927</v>
      </c>
    </row>
    <row r="21" spans="1:83" ht="19.5" thickBot="1" x14ac:dyDescent="0.3">
      <c r="A21" s="652"/>
      <c r="B21" s="21">
        <f>EOMONTH(B20,0)</f>
        <v>43921</v>
      </c>
      <c r="C21" s="1476" t="s">
        <v>49</v>
      </c>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8"/>
      <c r="AH21" s="648">
        <f>COUNTIF(C24:AG24,AI21)</f>
        <v>0</v>
      </c>
      <c r="AI21" s="629" t="s">
        <v>360</v>
      </c>
      <c r="AJ21" s="13">
        <v>5</v>
      </c>
      <c r="AK21" t="s">
        <v>5</v>
      </c>
      <c r="AL21" s="629" t="s">
        <v>360</v>
      </c>
      <c r="AM21" s="31">
        <v>44034</v>
      </c>
      <c r="AN21" s="31">
        <v>44054</v>
      </c>
      <c r="AO21" s="635">
        <f>Absences268101214[[#This Row],[debut]]</f>
        <v>44034</v>
      </c>
      <c r="AP21" s="13"/>
      <c r="AQ21" s="608" t="s">
        <v>357</v>
      </c>
      <c r="AR21" s="10" t="s">
        <v>6</v>
      </c>
      <c r="AS21" s="13"/>
      <c r="AT21" s="13"/>
      <c r="AU21" s="94" t="s">
        <v>85</v>
      </c>
      <c r="AV21" s="50">
        <v>0.41666666666666669</v>
      </c>
      <c r="AW21" s="50">
        <v>0.60416666666666663</v>
      </c>
      <c r="AX21" s="51">
        <v>1</v>
      </c>
      <c r="AY21" s="52">
        <f>IF(AW21-AV21=0,0,(AW21-AV21)-(AX21*TIMEVALUE("00:30")))</f>
        <v>0.1666666666666666</v>
      </c>
      <c r="AZ21" s="53" t="s">
        <v>67</v>
      </c>
      <c r="BA21" s="54"/>
      <c r="BB21" s="55"/>
      <c r="BC21" s="56"/>
      <c r="BD21" s="56"/>
      <c r="BE21" s="56"/>
      <c r="BF21" s="56"/>
      <c r="BH21" s="290"/>
      <c r="BI21" s="295"/>
      <c r="BJ21" s="323" t="s">
        <v>358</v>
      </c>
      <c r="BK21" s="315" t="s">
        <v>359</v>
      </c>
      <c r="BL21" s="294"/>
      <c r="BM21" s="294"/>
      <c r="BN21" s="294"/>
      <c r="BO21" s="324"/>
      <c r="BP21" s="324"/>
      <c r="BQ21" s="292"/>
      <c r="BR21" s="325" t="s">
        <v>664</v>
      </c>
      <c r="BS21" s="292"/>
      <c r="BT21" s="292"/>
      <c r="BU21" s="294"/>
      <c r="BV21" s="294"/>
      <c r="BW21" s="313"/>
      <c r="BZ21" s="359">
        <f>CA21</f>
        <v>44197</v>
      </c>
      <c r="CA21" s="360">
        <f>DATE(BZ4+1,1,1)</f>
        <v>44197</v>
      </c>
      <c r="CB21" s="361" t="s">
        <v>721</v>
      </c>
      <c r="CC21" s="563"/>
      <c r="CD21" s="563"/>
      <c r="CE21" s="563"/>
    </row>
    <row r="22" spans="1:83" ht="19.5" thickBot="1" x14ac:dyDescent="0.3">
      <c r="A22" s="654" t="s">
        <v>662</v>
      </c>
      <c r="B22" s="657">
        <f>COUNTIF(C24:AG24,A22)</f>
        <v>0</v>
      </c>
      <c r="C22" s="6">
        <f t="shared" ref="C22:AG22" si="10">IFERROR(DAY(C20),"")</f>
        <v>1</v>
      </c>
      <c r="D22" s="3">
        <f t="shared" si="10"/>
        <v>2</v>
      </c>
      <c r="E22" s="3">
        <f t="shared" si="10"/>
        <v>3</v>
      </c>
      <c r="F22" s="3">
        <f t="shared" si="10"/>
        <v>4</v>
      </c>
      <c r="G22" s="3">
        <f t="shared" si="10"/>
        <v>5</v>
      </c>
      <c r="H22" s="3">
        <f t="shared" si="10"/>
        <v>6</v>
      </c>
      <c r="I22" s="3">
        <f t="shared" si="10"/>
        <v>7</v>
      </c>
      <c r="J22" s="3">
        <f t="shared" si="10"/>
        <v>8</v>
      </c>
      <c r="K22" s="3">
        <f t="shared" si="10"/>
        <v>9</v>
      </c>
      <c r="L22" s="3">
        <f t="shared" si="10"/>
        <v>10</v>
      </c>
      <c r="M22" s="3">
        <f t="shared" si="10"/>
        <v>11</v>
      </c>
      <c r="N22" s="3">
        <f t="shared" si="10"/>
        <v>12</v>
      </c>
      <c r="O22" s="3">
        <f t="shared" si="10"/>
        <v>13</v>
      </c>
      <c r="P22" s="3">
        <f t="shared" si="10"/>
        <v>14</v>
      </c>
      <c r="Q22" s="3">
        <f t="shared" si="10"/>
        <v>15</v>
      </c>
      <c r="R22" s="3">
        <f t="shared" si="10"/>
        <v>16</v>
      </c>
      <c r="S22" s="3">
        <f t="shared" si="10"/>
        <v>17</v>
      </c>
      <c r="T22" s="3">
        <f t="shared" si="10"/>
        <v>18</v>
      </c>
      <c r="U22" s="3">
        <f t="shared" si="10"/>
        <v>19</v>
      </c>
      <c r="V22" s="3">
        <f t="shared" si="10"/>
        <v>20</v>
      </c>
      <c r="W22" s="3">
        <f t="shared" si="10"/>
        <v>21</v>
      </c>
      <c r="X22" s="3">
        <f t="shared" si="10"/>
        <v>22</v>
      </c>
      <c r="Y22" s="3">
        <f t="shared" si="10"/>
        <v>23</v>
      </c>
      <c r="Z22" s="3">
        <f t="shared" si="10"/>
        <v>24</v>
      </c>
      <c r="AA22" s="3">
        <f t="shared" si="10"/>
        <v>25</v>
      </c>
      <c r="AB22" s="3">
        <f t="shared" si="10"/>
        <v>26</v>
      </c>
      <c r="AC22" s="3">
        <f t="shared" si="10"/>
        <v>27</v>
      </c>
      <c r="AD22" s="3">
        <f t="shared" si="10"/>
        <v>28</v>
      </c>
      <c r="AE22" s="3">
        <f t="shared" si="10"/>
        <v>29</v>
      </c>
      <c r="AF22" s="3">
        <f t="shared" si="10"/>
        <v>30</v>
      </c>
      <c r="AG22" s="7">
        <f t="shared" si="10"/>
        <v>31</v>
      </c>
      <c r="AH22" s="648">
        <f>COUNTIF(C24:AG24,AI22)</f>
        <v>0</v>
      </c>
      <c r="AI22" s="10" t="s">
        <v>6</v>
      </c>
      <c r="AJ22" s="13">
        <v>6</v>
      </c>
      <c r="AK22" t="s">
        <v>4</v>
      </c>
      <c r="AL22" s="10" t="s">
        <v>6</v>
      </c>
      <c r="AM22" s="31">
        <v>43837</v>
      </c>
      <c r="AN22" s="31">
        <v>43842</v>
      </c>
      <c r="AO22" s="635">
        <f>Absences268101214[[#This Row],[debut]]</f>
        <v>43837</v>
      </c>
      <c r="AP22" s="13"/>
      <c r="AQ22" s="597" t="s">
        <v>813</v>
      </c>
      <c r="AR22" s="633" t="s">
        <v>799</v>
      </c>
      <c r="AS22" s="13"/>
      <c r="AT22" s="13"/>
      <c r="AU22" s="70"/>
      <c r="AV22" s="57"/>
      <c r="AW22" s="57"/>
      <c r="AX22" s="57"/>
      <c r="AY22" s="54"/>
      <c r="AZ22" s="54"/>
      <c r="BA22" s="54"/>
      <c r="BB22" s="55"/>
      <c r="BC22" s="56"/>
      <c r="BD22" s="56"/>
      <c r="BE22" s="56"/>
      <c r="BF22" s="56"/>
      <c r="BH22" s="290"/>
      <c r="BI22" s="295"/>
      <c r="BJ22" s="326" t="s">
        <v>542</v>
      </c>
      <c r="BK22" s="315" t="s">
        <v>543</v>
      </c>
      <c r="BL22" s="294"/>
      <c r="BM22" s="294"/>
      <c r="BN22" s="294"/>
      <c r="BO22" s="292"/>
      <c r="BP22" s="292"/>
      <c r="BQ22" s="292"/>
      <c r="BR22" s="327" t="s">
        <v>546</v>
      </c>
      <c r="BS22" s="315" t="s">
        <v>547</v>
      </c>
      <c r="BT22" s="292"/>
      <c r="BU22" s="294"/>
      <c r="BV22" s="294"/>
      <c r="BW22" s="313"/>
      <c r="BZ22" s="359">
        <f t="shared" ref="BZ22:BZ33" si="11">CA22</f>
        <v>44290</v>
      </c>
      <c r="CA22" s="360">
        <f>DATE(BZ4+1,3,29.56+0.979*MOD(204-11*MOD(BZ4+1,19),30)-WEEKDAY(DATE(BZ4+1,3,28.56+0.979*MOD(204-11*MOD(BZ4+1,19),30))))</f>
        <v>44290</v>
      </c>
      <c r="CB22" s="361" t="s">
        <v>585</v>
      </c>
      <c r="CC22" s="563"/>
      <c r="CD22" s="563"/>
      <c r="CE22" s="563"/>
    </row>
    <row r="23" spans="1:83" ht="16.5" customHeight="1" thickTop="1" thickBot="1" x14ac:dyDescent="0.3">
      <c r="A23" s="655" t="s">
        <v>800</v>
      </c>
      <c r="B23" s="658">
        <f>COUNTIF(C24:AG24,A23)</f>
        <v>0</v>
      </c>
      <c r="C23" s="5">
        <f t="shared" ref="C23:AC23" si="12">IF(C20="","",WEEKDAY(C20,1))</f>
        <v>1</v>
      </c>
      <c r="D23" s="8">
        <f t="shared" si="12"/>
        <v>2</v>
      </c>
      <c r="E23" s="8">
        <f t="shared" si="12"/>
        <v>3</v>
      </c>
      <c r="F23" s="8">
        <f t="shared" si="12"/>
        <v>4</v>
      </c>
      <c r="G23" s="8">
        <f t="shared" si="12"/>
        <v>5</v>
      </c>
      <c r="H23" s="8">
        <f t="shared" si="12"/>
        <v>6</v>
      </c>
      <c r="I23" s="8">
        <f t="shared" si="12"/>
        <v>7</v>
      </c>
      <c r="J23" s="8">
        <f t="shared" si="12"/>
        <v>1</v>
      </c>
      <c r="K23" s="8">
        <f t="shared" si="12"/>
        <v>2</v>
      </c>
      <c r="L23" s="8">
        <f t="shared" si="12"/>
        <v>3</v>
      </c>
      <c r="M23" s="8">
        <f t="shared" si="12"/>
        <v>4</v>
      </c>
      <c r="N23" s="8">
        <f t="shared" si="12"/>
        <v>5</v>
      </c>
      <c r="O23" s="8">
        <f t="shared" si="12"/>
        <v>6</v>
      </c>
      <c r="P23" s="8">
        <f t="shared" si="12"/>
        <v>7</v>
      </c>
      <c r="Q23" s="8">
        <f t="shared" si="12"/>
        <v>1</v>
      </c>
      <c r="R23" s="8">
        <f t="shared" si="12"/>
        <v>2</v>
      </c>
      <c r="S23" s="8">
        <f t="shared" si="12"/>
        <v>3</v>
      </c>
      <c r="T23" s="8">
        <f t="shared" si="12"/>
        <v>4</v>
      </c>
      <c r="U23" s="8">
        <f t="shared" si="12"/>
        <v>5</v>
      </c>
      <c r="V23" s="8">
        <f t="shared" si="12"/>
        <v>6</v>
      </c>
      <c r="W23" s="8">
        <f t="shared" si="12"/>
        <v>7</v>
      </c>
      <c r="X23" s="8">
        <f t="shared" si="12"/>
        <v>1</v>
      </c>
      <c r="Y23" s="8">
        <f t="shared" si="12"/>
        <v>2</v>
      </c>
      <c r="Z23" s="8">
        <f t="shared" si="12"/>
        <v>3</v>
      </c>
      <c r="AA23" s="8">
        <f t="shared" si="12"/>
        <v>4</v>
      </c>
      <c r="AB23" s="8">
        <f t="shared" si="12"/>
        <v>5</v>
      </c>
      <c r="AC23" s="8">
        <f t="shared" si="12"/>
        <v>6</v>
      </c>
      <c r="AD23" s="8">
        <f>IF(AD20="","",WEEKDAY(AD20,1))</f>
        <v>7</v>
      </c>
      <c r="AE23" s="8">
        <f>IF(AE20="","",WEEKDAY(AE20,1))</f>
        <v>1</v>
      </c>
      <c r="AF23" s="8">
        <f t="shared" ref="AF23:AG23" si="13">IF(AF20="","",WEEKDAY(AF20,1))</f>
        <v>2</v>
      </c>
      <c r="AG23" s="9">
        <f t="shared" si="13"/>
        <v>3</v>
      </c>
      <c r="AH23" s="648">
        <f>COUNTIF(C24:AG24,AI23)</f>
        <v>0</v>
      </c>
      <c r="AI23" s="633" t="s">
        <v>799</v>
      </c>
      <c r="AJ23" s="13">
        <v>7</v>
      </c>
      <c r="AK23" t="s">
        <v>5</v>
      </c>
      <c r="AL23" s="633" t="s">
        <v>799</v>
      </c>
      <c r="AM23" s="33">
        <v>43922</v>
      </c>
      <c r="AN23" s="33">
        <v>43925</v>
      </c>
      <c r="AO23" s="635">
        <f>Absences268101214[[#This Row],[debut]]</f>
        <v>43922</v>
      </c>
      <c r="AP23" s="13"/>
      <c r="AQ23" s="608" t="s">
        <v>363</v>
      </c>
      <c r="AR23" s="613" t="s">
        <v>362</v>
      </c>
      <c r="AS23" s="13"/>
      <c r="AT23" s="13"/>
      <c r="AU23" s="94" t="s">
        <v>86</v>
      </c>
      <c r="AV23" s="50">
        <v>0.27083333333333331</v>
      </c>
      <c r="AW23" s="50">
        <v>0.625</v>
      </c>
      <c r="AX23" s="51">
        <v>1</v>
      </c>
      <c r="AY23" s="52">
        <f>IF(AW23-AV23=0,0,(AW23-AV23)-(AX23*TIMEVALUE("00:30")))</f>
        <v>0.33333333333333337</v>
      </c>
      <c r="AZ23" s="53" t="s">
        <v>68</v>
      </c>
      <c r="BA23" s="54"/>
      <c r="BB23" s="55"/>
      <c r="BC23" s="56"/>
      <c r="BD23" s="56"/>
      <c r="BE23" s="56"/>
      <c r="BF23" s="56"/>
      <c r="BH23" s="290"/>
      <c r="BI23" s="295"/>
      <c r="BJ23" s="328" t="s">
        <v>362</v>
      </c>
      <c r="BK23" s="315" t="s">
        <v>363</v>
      </c>
      <c r="BL23" s="294"/>
      <c r="BM23" s="294"/>
      <c r="BN23" s="294"/>
      <c r="BO23" s="292"/>
      <c r="BP23" s="292"/>
      <c r="BQ23" s="292"/>
      <c r="BR23" s="329" t="s">
        <v>665</v>
      </c>
      <c r="BS23" s="330"/>
      <c r="BT23" s="292"/>
      <c r="BU23" s="294"/>
      <c r="BV23" s="331"/>
      <c r="BW23" s="313"/>
      <c r="BZ23" s="359">
        <f t="shared" si="11"/>
        <v>44291</v>
      </c>
      <c r="CA23" s="522">
        <f>CA22+1</f>
        <v>44291</v>
      </c>
      <c r="CB23" s="361" t="s">
        <v>725</v>
      </c>
      <c r="CC23" s="563"/>
      <c r="CD23" s="563"/>
      <c r="CE23" s="563"/>
    </row>
    <row r="24" spans="1:83" ht="18.75" x14ac:dyDescent="0.25">
      <c r="A24" s="679" t="s">
        <v>7</v>
      </c>
      <c r="B24" s="658">
        <f>COUNTIF(C24:AG24,A24)</f>
        <v>0</v>
      </c>
      <c r="C24" s="6" t="str">
        <f t="array" ref="C24">IFERROR(INDEX($AK$17:$AN$116,MATCH(1,(C20&gt;=$AM$17:$AM$116)*($AN$17:$AN$116&gt;=C20)*($AK$17:$AK$116=$U$2),0),2),"")</f>
        <v/>
      </c>
      <c r="D24" s="3" t="str">
        <f t="array" ref="D24">IFERROR(INDEX($AK$17:$AN$116,MATCH(1,(D20&gt;=$AM$17:$AM$116)*($AN$17:$AN$116&gt;=D20)*($AK$17:$AK$116=$U$2),0),2),"")</f>
        <v/>
      </c>
      <c r="E24" s="3" t="str">
        <f t="array" ref="E24">IFERROR(INDEX($AK$17:$AN$116,MATCH(1,(E20&gt;=$AM$17:$AM$116)*($AN$17:$AN$116&gt;=E20)*($AK$17:$AK$116=$U$2),0),2),"")</f>
        <v/>
      </c>
      <c r="F24" s="3" t="str">
        <f t="array" ref="F24">IFERROR(INDEX($AK$17:$AN$116,MATCH(1,(F20&gt;=$AM$17:$AM$116)*($AN$17:$AN$116&gt;=F20)*($AK$17:$AK$116=$U$2),0),2),"")</f>
        <v/>
      </c>
      <c r="G24" s="3" t="str">
        <f t="array" ref="G24">IFERROR(INDEX($AK$17:$AN$116,MATCH(1,(G20&gt;=$AM$17:$AM$116)*($AN$17:$AN$116&gt;=G20)*($AK$17:$AK$116=$U$2),0),2),"")</f>
        <v/>
      </c>
      <c r="H24" s="3" t="str">
        <f t="array" ref="H24">IFERROR(INDEX($AK$17:$AN$116,MATCH(1,(H20&gt;=$AM$17:$AM$116)*($AN$17:$AN$116&gt;=H20)*($AK$17:$AK$116=$U$2),0),2),"")</f>
        <v/>
      </c>
      <c r="I24" s="3" t="str">
        <f t="array" ref="I24">IFERROR(INDEX($AK$17:$AN$116,MATCH(1,(I20&gt;=$AM$17:$AM$116)*($AN$17:$AN$116&gt;=I20)*($AK$17:$AK$116=$U$2),0),2),"")</f>
        <v/>
      </c>
      <c r="J24" s="3" t="str">
        <f t="array" ref="J24">IFERROR(INDEX($AK$17:$AN$116,MATCH(1,(J20&gt;=$AM$17:$AM$116)*($AN$17:$AN$116&gt;=J20)*($AK$17:$AK$116=$U$2),0),2),"")</f>
        <v/>
      </c>
      <c r="K24" s="3" t="str">
        <f t="array" ref="K24">IFERROR(INDEX($AK$17:$AN$116,MATCH(1,(K20&gt;=$AM$17:$AM$116)*($AN$17:$AN$116&gt;=K20)*($AK$17:$AK$116=$U$2),0),2),"")</f>
        <v/>
      </c>
      <c r="L24" s="3" t="str">
        <f t="array" ref="L24">IFERROR(INDEX($AK$17:$AN$116,MATCH(1,(L20&gt;=$AM$17:$AM$116)*($AN$17:$AN$116&gt;=L20)*($AK$17:$AK$116=$U$2),0),2),"")</f>
        <v/>
      </c>
      <c r="M24" s="3" t="str">
        <f t="array" ref="M24">IFERROR(INDEX($AK$17:$AN$116,MATCH(1,(M20&gt;=$AM$17:$AM$116)*($AN$17:$AN$116&gt;=M20)*($AK$17:$AK$116=$U$2),0),2),"")</f>
        <v/>
      </c>
      <c r="N24" s="3" t="str">
        <f t="array" ref="N24">IFERROR(INDEX($AK$17:$AN$116,MATCH(1,(N20&gt;=$AM$17:$AM$116)*($AN$17:$AN$116&gt;=N20)*($AK$17:$AK$116=$U$2),0),2),"")</f>
        <v/>
      </c>
      <c r="O24" s="3" t="str">
        <f t="array" ref="O24">IFERROR(INDEX($AK$17:$AN$116,MATCH(1,(O20&gt;=$AM$17:$AM$116)*($AN$17:$AN$116&gt;=O20)*($AK$17:$AK$116=$U$2),0),2),"")</f>
        <v/>
      </c>
      <c r="P24" s="3" t="str">
        <f t="array" ref="P24">IFERROR(INDEX($AK$17:$AN$116,MATCH(1,(P20&gt;=$AM$17:$AM$116)*($AN$17:$AN$116&gt;=P20)*($AK$17:$AK$116=$U$2),0),2),"")</f>
        <v/>
      </c>
      <c r="Q24" s="3" t="str">
        <f t="array" ref="Q24">IFERROR(INDEX($AK$17:$AN$116,MATCH(1,(Q20&gt;=$AM$17:$AM$116)*($AN$17:$AN$116&gt;=Q20)*($AK$17:$AK$116=$U$2),0),2),"")</f>
        <v/>
      </c>
      <c r="R24" s="3" t="str">
        <f t="array" ref="R24">IFERROR(INDEX($AK$17:$AN$116,MATCH(1,(R20&gt;=$AM$17:$AM$116)*($AN$17:$AN$116&gt;=R20)*($AK$17:$AK$116=$U$2),0),2),"")</f>
        <v/>
      </c>
      <c r="S24" s="3" t="str">
        <f t="array" ref="S24">IFERROR(INDEX($AK$17:$AN$116,MATCH(1,(S20&gt;=$AM$17:$AM$116)*($AN$17:$AN$116&gt;=S20)*($AK$17:$AK$116=$U$2),0),2),"")</f>
        <v/>
      </c>
      <c r="T24" s="3" t="str">
        <f t="array" ref="T24">IFERROR(INDEX($AK$17:$AN$116,MATCH(1,(T20&gt;=$AM$17:$AM$116)*($AN$17:$AN$116&gt;=T20)*($AK$17:$AK$116=$U$2),0),2),"")</f>
        <v/>
      </c>
      <c r="U24" s="3" t="str">
        <f t="array" ref="U24">IFERROR(INDEX($AK$17:$AN$116,MATCH(1,(U20&gt;=$AM$17:$AM$116)*($AN$17:$AN$116&gt;=U20)*($AK$17:$AK$116=$U$2),0),2),"")</f>
        <v/>
      </c>
      <c r="V24" s="3" t="str">
        <f t="array" ref="V24">IFERROR(INDEX($AK$17:$AN$116,MATCH(1,(V20&gt;=$AM$17:$AM$116)*($AN$17:$AN$116&gt;=V20)*($AK$17:$AK$116=$U$2),0),2),"")</f>
        <v/>
      </c>
      <c r="W24" s="3" t="str">
        <f t="array" ref="W24">IFERROR(INDEX($AK$17:$AN$116,MATCH(1,(W20&gt;=$AM$17:$AM$116)*($AN$17:$AN$116&gt;=W20)*($AK$17:$AK$116=$U$2),0),2),"")</f>
        <v/>
      </c>
      <c r="X24" s="3" t="str">
        <f t="array" ref="X24">IFERROR(INDEX($AK$17:$AN$116,MATCH(1,(X20&gt;=$AM$17:$AM$116)*($AN$17:$AN$116&gt;=X20)*($AK$17:$AK$116=$U$2),0),2),"")</f>
        <v/>
      </c>
      <c r="Y24" s="3" t="str">
        <f t="array" ref="Y24">IFERROR(INDEX($AK$17:$AN$116,MATCH(1,(Y20&gt;=$AM$17:$AM$116)*($AN$17:$AN$116&gt;=Y20)*($AK$17:$AK$116=$U$2),0),2),"")</f>
        <v/>
      </c>
      <c r="Z24" s="3" t="str">
        <f t="array" ref="Z24">IFERROR(INDEX($AK$17:$AN$116,MATCH(1,(Z20&gt;=$AM$17:$AM$116)*($AN$17:$AN$116&gt;=Z20)*($AK$17:$AK$116=$U$2),0),2),"")</f>
        <v/>
      </c>
      <c r="AA24" s="3" t="str">
        <f t="array" ref="AA24">IFERROR(INDEX($AK$17:$AN$116,MATCH(1,(AA20&gt;=$AM$17:$AM$116)*($AN$17:$AN$116&gt;=AA20)*($AK$17:$AK$116=$U$2),0),2),"")</f>
        <v/>
      </c>
      <c r="AB24" s="3" t="str">
        <f t="array" ref="AB24">IFERROR(INDEX($AK$17:$AN$116,MATCH(1,(AB20&gt;=$AM$17:$AM$116)*($AN$17:$AN$116&gt;=AB20)*($AK$17:$AK$116=$U$2),0),2),"")</f>
        <v/>
      </c>
      <c r="AC24" s="3" t="str">
        <f t="array" ref="AC24">IFERROR(INDEX($AK$17:$AN$116,MATCH(1,(AC20&gt;=$AM$17:$AM$116)*($AN$17:$AN$116&gt;=AC20)*($AK$17:$AK$116=$U$2),0),2),"")</f>
        <v/>
      </c>
      <c r="AD24" s="3" t="str">
        <f t="array" ref="AD24">IFERROR(INDEX($AK$17:$AN$116,MATCH(1,(AD20&gt;=$AM$17:$AM$116)*($AN$17:$AN$116&gt;=AD20)*($AK$17:$AK$116=$U$2),0),2),"")</f>
        <v/>
      </c>
      <c r="AE24" s="3" t="str">
        <f t="array" ref="AE24">IFERROR(INDEX($AK$17:$AN$116,MATCH(1,(AE20&gt;=$AM$17:$AM$116)*($AN$17:$AN$116&gt;=AE20)*($AK$17:$AK$116=$U$2),0),2),"")</f>
        <v/>
      </c>
      <c r="AF24" s="3" t="str">
        <f t="array" ref="AF24">IFERROR(INDEX($AK$17:$AN$116,MATCH(1,(AF20&gt;=$AM$17:$AM$116)*($AN$17:$AN$116&gt;=AF20)*($AK$17:$AK$116=$U$2),0),2),"")</f>
        <v/>
      </c>
      <c r="AG24" s="3" t="str">
        <f t="array" ref="AG24">IFERROR(INDEX($AK$17:$AN$116,MATCH(1,(AG20&gt;=$AM$17:$AM$116)*($AN$17:$AN$116&gt;=AG20)*($AK$17:$AK$116=$U$2),0),2),"")</f>
        <v/>
      </c>
      <c r="AH24" s="648">
        <f>COUNTIF(C24:AG24,AI24)</f>
        <v>0</v>
      </c>
      <c r="AI24" s="639" t="s">
        <v>362</v>
      </c>
      <c r="AJ24" s="13">
        <v>8</v>
      </c>
      <c r="AK24" t="s">
        <v>5</v>
      </c>
      <c r="AL24" s="613" t="s">
        <v>362</v>
      </c>
      <c r="AM24" s="32">
        <v>43964</v>
      </c>
      <c r="AN24" s="32">
        <v>43965</v>
      </c>
      <c r="AO24" s="635">
        <f>Absences268101214[[#This Row],[debut]]</f>
        <v>43964</v>
      </c>
      <c r="AP24" s="13"/>
      <c r="AS24" s="13"/>
      <c r="AT24" s="13"/>
      <c r="AU24" s="70"/>
      <c r="AV24" s="57"/>
      <c r="AW24" s="57"/>
      <c r="AX24" s="57"/>
      <c r="AY24" s="54"/>
      <c r="AZ24" s="54"/>
      <c r="BA24" s="54"/>
      <c r="BB24" s="55"/>
      <c r="BC24" s="56"/>
      <c r="BD24" s="56"/>
      <c r="BE24" s="56"/>
      <c r="BF24" s="56"/>
      <c r="BH24" s="290"/>
      <c r="BI24" s="295"/>
      <c r="BJ24" s="281"/>
      <c r="BK24" s="294"/>
      <c r="BL24" s="294"/>
      <c r="BM24" s="294"/>
      <c r="BN24" s="294"/>
      <c r="BO24" s="292"/>
      <c r="BP24" s="292"/>
      <c r="BQ24" s="292"/>
      <c r="BR24" s="292"/>
      <c r="BS24" s="292"/>
      <c r="BT24" s="292"/>
      <c r="BU24" s="294"/>
      <c r="BV24" s="331"/>
      <c r="BW24" s="308"/>
      <c r="BZ24" s="359">
        <f t="shared" si="11"/>
        <v>44317</v>
      </c>
      <c r="CA24" s="522">
        <f>DATE(BZ4+1,5,1)</f>
        <v>44317</v>
      </c>
      <c r="CB24" s="361" t="s">
        <v>726</v>
      </c>
      <c r="CC24" s="563"/>
      <c r="CD24" s="563"/>
      <c r="CE24" s="563"/>
    </row>
    <row r="25" spans="1:83" ht="16.5" customHeight="1" thickBot="1" x14ac:dyDescent="0.3">
      <c r="A25" s="678"/>
      <c r="B25" s="40">
        <f>COUNTA(C25:AG25)</f>
        <v>0</v>
      </c>
      <c r="C25" s="41"/>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677"/>
      <c r="AI25" s="678"/>
      <c r="AJ25" s="13">
        <v>9</v>
      </c>
      <c r="AK25" t="s">
        <v>5</v>
      </c>
      <c r="AL25" s="630" t="s">
        <v>662</v>
      </c>
      <c r="AM25" s="33">
        <v>43995</v>
      </c>
      <c r="AN25" s="33">
        <v>44011</v>
      </c>
      <c r="AO25" s="635">
        <f>Absences268101214[[#This Row],[debut]]</f>
        <v>43995</v>
      </c>
      <c r="AP25" s="13"/>
      <c r="AS25" s="13"/>
      <c r="AT25" s="13"/>
      <c r="AU25" s="94" t="s">
        <v>87</v>
      </c>
      <c r="AV25" s="50">
        <v>0.3125</v>
      </c>
      <c r="AW25" s="50">
        <v>0.47916666666666669</v>
      </c>
      <c r="AX25" s="51">
        <v>0</v>
      </c>
      <c r="AY25" s="52">
        <f>IF(AW25-AV25=0,0,(AW25-AV25)-(AX25*TIMEVALUE("00:30")))</f>
        <v>0.16666666666666669</v>
      </c>
      <c r="AZ25" s="53" t="s">
        <v>62</v>
      </c>
      <c r="BA25" s="54"/>
      <c r="BB25" s="55"/>
      <c r="BC25" s="56"/>
      <c r="BD25" s="56"/>
      <c r="BE25" s="56"/>
      <c r="BF25" s="56"/>
      <c r="BH25" s="290"/>
      <c r="BI25" s="295"/>
      <c r="BJ25" s="332"/>
      <c r="BK25" s="59"/>
      <c r="BL25" s="294"/>
      <c r="BM25" s="294"/>
      <c r="BN25" s="294"/>
      <c r="BO25" s="292"/>
      <c r="BP25" s="292"/>
      <c r="BQ25" s="292"/>
      <c r="BR25" s="292"/>
      <c r="BS25" s="292"/>
      <c r="BT25" s="292"/>
      <c r="BU25" s="294"/>
      <c r="BV25" s="331"/>
      <c r="BW25" s="308"/>
      <c r="BZ25" s="359">
        <f t="shared" si="11"/>
        <v>494</v>
      </c>
      <c r="CA25" s="360">
        <f>DATE($Y$2+1,5,8)</f>
        <v>494</v>
      </c>
      <c r="CB25" s="361" t="s">
        <v>728</v>
      </c>
      <c r="CC25" s="563"/>
      <c r="CD25" s="563"/>
      <c r="CE25" s="563"/>
    </row>
    <row r="26" spans="1:83" ht="14.25" customHeight="1" x14ac:dyDescent="0.25">
      <c r="A26" s="651"/>
      <c r="B26" s="20">
        <f>DATE($C$2,MONTH(1&amp;"/"&amp;C27),1)</f>
        <v>43922</v>
      </c>
      <c r="C26" s="14">
        <f>B26</f>
        <v>43922</v>
      </c>
      <c r="D26" s="14">
        <f>IFERROR(IF(C26+1&gt;$B$27,"",C26+1),"")</f>
        <v>43923</v>
      </c>
      <c r="E26" s="14">
        <f t="shared" ref="E26:AG26" si="14">IFERROR(IF(D26+1&gt;$B$27,"",D26+1),"")</f>
        <v>43924</v>
      </c>
      <c r="F26" s="14">
        <f t="shared" si="14"/>
        <v>43925</v>
      </c>
      <c r="G26" s="14">
        <f t="shared" si="14"/>
        <v>43926</v>
      </c>
      <c r="H26" s="14">
        <f t="shared" si="14"/>
        <v>43927</v>
      </c>
      <c r="I26" s="14">
        <f t="shared" si="14"/>
        <v>43928</v>
      </c>
      <c r="J26" s="14">
        <f t="shared" si="14"/>
        <v>43929</v>
      </c>
      <c r="K26" s="14">
        <f t="shared" si="14"/>
        <v>43930</v>
      </c>
      <c r="L26" s="14">
        <f t="shared" si="14"/>
        <v>43931</v>
      </c>
      <c r="M26" s="14">
        <f t="shared" si="14"/>
        <v>43932</v>
      </c>
      <c r="N26" s="14">
        <f t="shared" si="14"/>
        <v>43933</v>
      </c>
      <c r="O26" s="14">
        <f t="shared" si="14"/>
        <v>43934</v>
      </c>
      <c r="P26" s="14">
        <f t="shared" si="14"/>
        <v>43935</v>
      </c>
      <c r="Q26" s="14">
        <f t="shared" si="14"/>
        <v>43936</v>
      </c>
      <c r="R26" s="14">
        <f t="shared" si="14"/>
        <v>43937</v>
      </c>
      <c r="S26" s="14">
        <f t="shared" si="14"/>
        <v>43938</v>
      </c>
      <c r="T26" s="14">
        <f t="shared" si="14"/>
        <v>43939</v>
      </c>
      <c r="U26" s="14">
        <f t="shared" si="14"/>
        <v>43940</v>
      </c>
      <c r="V26" s="14">
        <f t="shared" si="14"/>
        <v>43941</v>
      </c>
      <c r="W26" s="14">
        <f t="shared" si="14"/>
        <v>43942</v>
      </c>
      <c r="X26" s="14">
        <f t="shared" si="14"/>
        <v>43943</v>
      </c>
      <c r="Y26" s="14">
        <f t="shared" si="14"/>
        <v>43944</v>
      </c>
      <c r="Z26" s="14">
        <f t="shared" si="14"/>
        <v>43945</v>
      </c>
      <c r="AA26" s="14">
        <f t="shared" si="14"/>
        <v>43946</v>
      </c>
      <c r="AB26" s="14">
        <f t="shared" si="14"/>
        <v>43947</v>
      </c>
      <c r="AC26" s="14">
        <f t="shared" si="14"/>
        <v>43948</v>
      </c>
      <c r="AD26" s="14">
        <f t="shared" si="14"/>
        <v>43949</v>
      </c>
      <c r="AE26" s="14">
        <f t="shared" si="14"/>
        <v>43950</v>
      </c>
      <c r="AF26" s="14">
        <f t="shared" si="14"/>
        <v>43951</v>
      </c>
      <c r="AG26" s="14" t="str">
        <f t="shared" si="14"/>
        <v/>
      </c>
      <c r="AH26" s="647">
        <f>COUNTIF(C30:AG30,AI26)</f>
        <v>0</v>
      </c>
      <c r="AI26" s="640" t="s">
        <v>8</v>
      </c>
      <c r="AJ26" s="13">
        <v>10</v>
      </c>
      <c r="AK26" t="s">
        <v>4</v>
      </c>
      <c r="AL26" s="631" t="s">
        <v>800</v>
      </c>
      <c r="AM26" s="31">
        <v>43941</v>
      </c>
      <c r="AN26" s="31">
        <v>43949</v>
      </c>
      <c r="AO26" s="635">
        <f>Absences268101214[[#This Row],[debut]]</f>
        <v>43941</v>
      </c>
      <c r="AP26" s="13"/>
      <c r="AS26" s="13"/>
      <c r="AT26" s="13"/>
      <c r="AU26" s="70"/>
      <c r="AV26" s="57"/>
      <c r="AW26" s="57"/>
      <c r="AX26" s="57"/>
      <c r="AY26" s="54"/>
      <c r="AZ26" s="54"/>
      <c r="BA26" s="54"/>
      <c r="BB26" s="55"/>
      <c r="BC26" s="56"/>
      <c r="BD26" s="56"/>
      <c r="BE26" s="56"/>
      <c r="BF26" s="56"/>
      <c r="BH26" s="290"/>
      <c r="BI26" s="295"/>
      <c r="BJ26" s="332"/>
      <c r="BK26" s="59"/>
      <c r="BL26" s="294"/>
      <c r="BM26" s="294"/>
      <c r="BN26" s="294"/>
      <c r="BO26" s="316"/>
      <c r="BP26" s="333" t="s">
        <v>666</v>
      </c>
      <c r="BQ26" s="334"/>
      <c r="BR26" s="335">
        <v>0</v>
      </c>
      <c r="BS26" s="336">
        <v>0</v>
      </c>
      <c r="BT26" s="337">
        <v>0</v>
      </c>
      <c r="BU26" s="338">
        <f>(BS26-BR26)-("00:30"*BT26)</f>
        <v>0</v>
      </c>
      <c r="BV26" s="331"/>
      <c r="BW26" s="308"/>
      <c r="BZ26" s="359">
        <f t="shared" si="11"/>
        <v>44329</v>
      </c>
      <c r="CA26" s="360">
        <f>CA22+39</f>
        <v>44329</v>
      </c>
      <c r="CB26" s="361" t="s">
        <v>729</v>
      </c>
      <c r="CC26" s="563"/>
      <c r="CD26" s="563"/>
      <c r="CE26" s="563"/>
    </row>
    <row r="27" spans="1:83" ht="21.75" thickBot="1" x14ac:dyDescent="0.3">
      <c r="A27" s="652"/>
      <c r="B27" s="21">
        <f>EOMONTH(B26,0)</f>
        <v>43951</v>
      </c>
      <c r="C27" s="1476" t="s">
        <v>48</v>
      </c>
      <c r="D27" s="1477"/>
      <c r="E27" s="1477"/>
      <c r="F27" s="1477"/>
      <c r="G27" s="1477"/>
      <c r="H27" s="1477"/>
      <c r="I27" s="1477"/>
      <c r="J27" s="1477"/>
      <c r="K27" s="1477"/>
      <c r="L27" s="1477"/>
      <c r="M27" s="1477"/>
      <c r="N27" s="1477"/>
      <c r="O27" s="1477"/>
      <c r="P27" s="1477"/>
      <c r="Q27" s="1477"/>
      <c r="R27" s="1477"/>
      <c r="S27" s="1477"/>
      <c r="T27" s="1477"/>
      <c r="U27" s="1477"/>
      <c r="V27" s="1477"/>
      <c r="W27" s="1477"/>
      <c r="X27" s="1477"/>
      <c r="Y27" s="1477"/>
      <c r="Z27" s="1477"/>
      <c r="AA27" s="1477"/>
      <c r="AB27" s="1477"/>
      <c r="AC27" s="1477"/>
      <c r="AD27" s="1477"/>
      <c r="AE27" s="1477"/>
      <c r="AF27" s="1477"/>
      <c r="AG27" s="1478"/>
      <c r="AH27" s="648">
        <f>COUNTIF(C30:AG30,AI27)</f>
        <v>0</v>
      </c>
      <c r="AI27" s="629" t="s">
        <v>360</v>
      </c>
      <c r="AJ27" s="13">
        <v>11</v>
      </c>
      <c r="AK27" t="s">
        <v>4</v>
      </c>
      <c r="AL27" s="632" t="s">
        <v>7</v>
      </c>
      <c r="AM27" s="31">
        <v>43843</v>
      </c>
      <c r="AN27" s="31">
        <v>43846</v>
      </c>
      <c r="AO27" s="635">
        <f>Absences268101214[[#This Row],[debut]]</f>
        <v>43843</v>
      </c>
      <c r="AP27" s="13"/>
      <c r="AS27" s="13"/>
      <c r="AT27" s="13"/>
      <c r="AU27" s="94" t="s">
        <v>88</v>
      </c>
      <c r="AV27" s="50">
        <v>0.375</v>
      </c>
      <c r="AW27" s="50">
        <v>0.5625</v>
      </c>
      <c r="AX27" s="51">
        <v>1</v>
      </c>
      <c r="AY27" s="52">
        <f>IF(AW27-AV27=0,0,(AW27-AV27)-(AX27*TIMEVALUE("00:30")))</f>
        <v>0.16666666666666666</v>
      </c>
      <c r="AZ27" s="53" t="s">
        <v>67</v>
      </c>
      <c r="BA27" s="54"/>
      <c r="BB27" s="55"/>
      <c r="BC27" s="56"/>
      <c r="BD27" s="56"/>
      <c r="BE27" s="56"/>
      <c r="BF27" s="56"/>
      <c r="BH27" s="290"/>
      <c r="BI27" s="339"/>
      <c r="BJ27" s="339"/>
      <c r="BK27" s="339"/>
      <c r="BL27" s="315"/>
      <c r="BM27" s="292"/>
      <c r="BN27" s="292"/>
      <c r="BO27" s="316"/>
      <c r="BP27" s="333" t="s">
        <v>666</v>
      </c>
      <c r="BQ27" s="340" t="s">
        <v>667</v>
      </c>
      <c r="BR27" s="335">
        <v>0</v>
      </c>
      <c r="BS27" s="336">
        <v>0</v>
      </c>
      <c r="BT27" s="337">
        <v>0</v>
      </c>
      <c r="BU27" s="338">
        <f>(BS27-BR27)-("00:30"*BT27)</f>
        <v>0</v>
      </c>
      <c r="BV27" s="331"/>
      <c r="BW27" s="313"/>
      <c r="BZ27" s="359">
        <f t="shared" si="11"/>
        <v>44339</v>
      </c>
      <c r="CA27" s="360">
        <f>CA22+49</f>
        <v>44339</v>
      </c>
      <c r="CB27" s="361" t="s">
        <v>731</v>
      </c>
      <c r="CC27" s="563"/>
      <c r="CD27" s="563"/>
      <c r="CE27" s="563"/>
    </row>
    <row r="28" spans="1:83" ht="21" x14ac:dyDescent="0.25">
      <c r="A28" s="654" t="s">
        <v>662</v>
      </c>
      <c r="B28" s="657">
        <f>COUNTIF(C30:AG30,A28)</f>
        <v>0</v>
      </c>
      <c r="C28" s="6">
        <f t="shared" ref="C28:AG28" si="15">IFERROR(DAY(C26),"")</f>
        <v>1</v>
      </c>
      <c r="D28" s="3">
        <f t="shared" si="15"/>
        <v>2</v>
      </c>
      <c r="E28" s="3">
        <f t="shared" si="15"/>
        <v>3</v>
      </c>
      <c r="F28" s="3">
        <f t="shared" si="15"/>
        <v>4</v>
      </c>
      <c r="G28" s="3">
        <f t="shared" si="15"/>
        <v>5</v>
      </c>
      <c r="H28" s="3">
        <f t="shared" si="15"/>
        <v>6</v>
      </c>
      <c r="I28" s="3">
        <f t="shared" si="15"/>
        <v>7</v>
      </c>
      <c r="J28" s="3">
        <f t="shared" si="15"/>
        <v>8</v>
      </c>
      <c r="K28" s="3">
        <f t="shared" si="15"/>
        <v>9</v>
      </c>
      <c r="L28" s="3">
        <f t="shared" si="15"/>
        <v>10</v>
      </c>
      <c r="M28" s="3">
        <f t="shared" si="15"/>
        <v>11</v>
      </c>
      <c r="N28" s="3">
        <f t="shared" si="15"/>
        <v>12</v>
      </c>
      <c r="O28" s="3">
        <f t="shared" si="15"/>
        <v>13</v>
      </c>
      <c r="P28" s="3">
        <f t="shared" si="15"/>
        <v>14</v>
      </c>
      <c r="Q28" s="3">
        <f t="shared" si="15"/>
        <v>15</v>
      </c>
      <c r="R28" s="3">
        <f t="shared" si="15"/>
        <v>16</v>
      </c>
      <c r="S28" s="3">
        <f t="shared" si="15"/>
        <v>17</v>
      </c>
      <c r="T28" s="3">
        <f t="shared" si="15"/>
        <v>18</v>
      </c>
      <c r="U28" s="3">
        <f t="shared" si="15"/>
        <v>19</v>
      </c>
      <c r="V28" s="3">
        <f t="shared" si="15"/>
        <v>20</v>
      </c>
      <c r="W28" s="3">
        <f t="shared" si="15"/>
        <v>21</v>
      </c>
      <c r="X28" s="3">
        <f t="shared" si="15"/>
        <v>22</v>
      </c>
      <c r="Y28" s="3">
        <f t="shared" si="15"/>
        <v>23</v>
      </c>
      <c r="Z28" s="3">
        <f t="shared" si="15"/>
        <v>24</v>
      </c>
      <c r="AA28" s="3">
        <f t="shared" si="15"/>
        <v>25</v>
      </c>
      <c r="AB28" s="3">
        <f t="shared" si="15"/>
        <v>26</v>
      </c>
      <c r="AC28" s="3">
        <f t="shared" si="15"/>
        <v>27</v>
      </c>
      <c r="AD28" s="3">
        <f t="shared" si="15"/>
        <v>28</v>
      </c>
      <c r="AE28" s="3">
        <f t="shared" si="15"/>
        <v>29</v>
      </c>
      <c r="AF28" s="3">
        <f t="shared" si="15"/>
        <v>30</v>
      </c>
      <c r="AG28" s="7" t="str">
        <f t="shared" si="15"/>
        <v/>
      </c>
      <c r="AH28" s="648">
        <f>COUNTIF(C30:AG30,AI28)</f>
        <v>0</v>
      </c>
      <c r="AI28" s="10" t="s">
        <v>6</v>
      </c>
      <c r="AJ28" s="13">
        <v>12</v>
      </c>
      <c r="AK28" t="s">
        <v>5</v>
      </c>
      <c r="AL28" s="628" t="s">
        <v>8</v>
      </c>
      <c r="AM28" s="31">
        <v>43966</v>
      </c>
      <c r="AN28" s="31">
        <v>43969</v>
      </c>
      <c r="AO28" s="635">
        <f>Absences268101214[[#This Row],[debut]]</f>
        <v>43966</v>
      </c>
      <c r="AP28" s="13"/>
      <c r="AS28" s="13"/>
      <c r="AT28" s="13"/>
      <c r="AU28" s="70"/>
      <c r="AV28" s="57"/>
      <c r="AW28" s="57"/>
      <c r="AX28" s="57"/>
      <c r="AY28" s="54"/>
      <c r="AZ28" s="54"/>
      <c r="BA28" s="54"/>
      <c r="BB28" s="55"/>
      <c r="BC28" s="56"/>
      <c r="BD28" s="56"/>
      <c r="BE28" s="56"/>
      <c r="BF28" s="56"/>
      <c r="BH28" s="290"/>
      <c r="BI28" s="351" t="s">
        <v>538</v>
      </c>
      <c r="BJ28" s="315" t="s">
        <v>539</v>
      </c>
      <c r="BK28" s="339"/>
      <c r="BL28" s="324"/>
      <c r="BM28" s="292"/>
      <c r="BN28" s="292"/>
      <c r="BO28" s="316"/>
      <c r="BP28" s="333" t="s">
        <v>666</v>
      </c>
      <c r="BQ28" s="340">
        <v>6</v>
      </c>
      <c r="BR28" s="335">
        <v>0.29166666666666669</v>
      </c>
      <c r="BS28" s="336">
        <v>0.60416666666666663</v>
      </c>
      <c r="BT28" s="337">
        <v>1</v>
      </c>
      <c r="BU28" s="338">
        <f>(BS28-BR28)-("00:30"*BT28)</f>
        <v>0.29166666666666663</v>
      </c>
      <c r="BV28" s="331"/>
      <c r="BW28" s="313"/>
      <c r="BZ28" s="359">
        <f t="shared" si="11"/>
        <v>44340</v>
      </c>
      <c r="CA28" s="360">
        <f>CA27+1</f>
        <v>44340</v>
      </c>
      <c r="CB28" s="361" t="s">
        <v>732</v>
      </c>
      <c r="CC28" s="563"/>
      <c r="CD28" s="563"/>
      <c r="CE28" s="563"/>
    </row>
    <row r="29" spans="1:83" ht="16.5" customHeight="1" thickBot="1" x14ac:dyDescent="0.3">
      <c r="A29" s="655" t="s">
        <v>800</v>
      </c>
      <c r="B29" s="658">
        <f>COUNTIF(C30:AG30,A29)</f>
        <v>9</v>
      </c>
      <c r="C29" s="5">
        <f t="shared" ref="C29:AC29" si="16">IF(C26="","",WEEKDAY(C26,1))</f>
        <v>4</v>
      </c>
      <c r="D29" s="8">
        <f t="shared" si="16"/>
        <v>5</v>
      </c>
      <c r="E29" s="8">
        <f t="shared" si="16"/>
        <v>6</v>
      </c>
      <c r="F29" s="8">
        <f t="shared" si="16"/>
        <v>7</v>
      </c>
      <c r="G29" s="8">
        <f t="shared" si="16"/>
        <v>1</v>
      </c>
      <c r="H29" s="8">
        <f t="shared" si="16"/>
        <v>2</v>
      </c>
      <c r="I29" s="8">
        <f t="shared" si="16"/>
        <v>3</v>
      </c>
      <c r="J29" s="8">
        <f t="shared" si="16"/>
        <v>4</v>
      </c>
      <c r="K29" s="8">
        <f t="shared" si="16"/>
        <v>5</v>
      </c>
      <c r="L29" s="8">
        <f t="shared" si="16"/>
        <v>6</v>
      </c>
      <c r="M29" s="8">
        <f t="shared" si="16"/>
        <v>7</v>
      </c>
      <c r="N29" s="8">
        <f t="shared" si="16"/>
        <v>1</v>
      </c>
      <c r="O29" s="8">
        <f t="shared" si="16"/>
        <v>2</v>
      </c>
      <c r="P29" s="8">
        <f t="shared" si="16"/>
        <v>3</v>
      </c>
      <c r="Q29" s="8">
        <f t="shared" si="16"/>
        <v>4</v>
      </c>
      <c r="R29" s="8">
        <f t="shared" si="16"/>
        <v>5</v>
      </c>
      <c r="S29" s="8">
        <f t="shared" si="16"/>
        <v>6</v>
      </c>
      <c r="T29" s="8">
        <f t="shared" si="16"/>
        <v>7</v>
      </c>
      <c r="U29" s="8">
        <f t="shared" si="16"/>
        <v>1</v>
      </c>
      <c r="V29" s="8">
        <f t="shared" si="16"/>
        <v>2</v>
      </c>
      <c r="W29" s="8">
        <f t="shared" si="16"/>
        <v>3</v>
      </c>
      <c r="X29" s="8">
        <f t="shared" si="16"/>
        <v>4</v>
      </c>
      <c r="Y29" s="8">
        <f t="shared" si="16"/>
        <v>5</v>
      </c>
      <c r="Z29" s="8">
        <f t="shared" si="16"/>
        <v>6</v>
      </c>
      <c r="AA29" s="8">
        <f t="shared" si="16"/>
        <v>7</v>
      </c>
      <c r="AB29" s="8">
        <f t="shared" si="16"/>
        <v>1</v>
      </c>
      <c r="AC29" s="8">
        <f t="shared" si="16"/>
        <v>2</v>
      </c>
      <c r="AD29" s="8">
        <f>IF(AD26="","",WEEKDAY(AD26,1))</f>
        <v>3</v>
      </c>
      <c r="AE29" s="8">
        <f>IF(AE26="","",WEEKDAY(AE26,1))</f>
        <v>4</v>
      </c>
      <c r="AF29" s="8">
        <f t="shared" ref="AF29:AG29" si="17">IF(AF26="","",WEEKDAY(AF26,1))</f>
        <v>5</v>
      </c>
      <c r="AG29" s="9" t="str">
        <f t="shared" si="17"/>
        <v/>
      </c>
      <c r="AH29" s="648">
        <f>COUNTIF(C30:AG30,AI29)</f>
        <v>0</v>
      </c>
      <c r="AI29" s="633" t="s">
        <v>799</v>
      </c>
      <c r="AJ29" s="13">
        <v>13</v>
      </c>
      <c r="AK29" t="s">
        <v>4</v>
      </c>
      <c r="AL29" s="629" t="s">
        <v>360</v>
      </c>
      <c r="AM29" s="31">
        <v>43831</v>
      </c>
      <c r="AN29" s="31">
        <v>43833</v>
      </c>
      <c r="AO29" s="635">
        <f>Absences268101214[[#This Row],[debut]]</f>
        <v>43831</v>
      </c>
      <c r="AP29" s="13"/>
      <c r="AS29" s="13"/>
      <c r="AT29" s="13"/>
      <c r="AU29" s="94" t="s">
        <v>89</v>
      </c>
      <c r="AV29" s="50">
        <v>0.33333333333333331</v>
      </c>
      <c r="AW29" s="50">
        <v>0.64583333333333337</v>
      </c>
      <c r="AX29" s="51">
        <v>1</v>
      </c>
      <c r="AY29" s="52">
        <f>IF(AW29-AV29=0,0,(AW29-AV29)-(AX29*TIMEVALUE("00:30")))</f>
        <v>0.29166666666666674</v>
      </c>
      <c r="AZ29" s="53" t="s">
        <v>127</v>
      </c>
      <c r="BA29" s="54"/>
      <c r="BB29" s="55"/>
      <c r="BC29" s="56"/>
      <c r="BD29" s="56"/>
      <c r="BE29" s="56"/>
      <c r="BF29" s="56"/>
      <c r="BH29" s="290"/>
      <c r="BI29" s="351" t="s">
        <v>540</v>
      </c>
      <c r="BJ29" s="315" t="s">
        <v>541</v>
      </c>
      <c r="BK29" s="339"/>
      <c r="BL29" s="315"/>
      <c r="BM29" s="339"/>
      <c r="BN29" s="339"/>
      <c r="BO29" s="316"/>
      <c r="BP29" s="333" t="s">
        <v>553</v>
      </c>
      <c r="BQ29" s="340">
        <v>10</v>
      </c>
      <c r="BR29" s="335">
        <v>0</v>
      </c>
      <c r="BS29" s="336">
        <v>0</v>
      </c>
      <c r="BT29" s="337">
        <v>0</v>
      </c>
      <c r="BU29" s="338">
        <f>(BS29-BR29)-("00:30"*BT29)</f>
        <v>0</v>
      </c>
      <c r="BV29" s="331"/>
      <c r="BW29" s="308"/>
      <c r="BZ29" s="359">
        <f t="shared" si="11"/>
        <v>44391</v>
      </c>
      <c r="CA29" s="360">
        <f>DATE(BZ4+1,7,14)</f>
        <v>44391</v>
      </c>
      <c r="CB29" s="361" t="s">
        <v>733</v>
      </c>
      <c r="CC29" s="563"/>
      <c r="CD29" s="563"/>
      <c r="CE29" s="563"/>
    </row>
    <row r="30" spans="1:83" ht="21" x14ac:dyDescent="0.25">
      <c r="A30" s="679" t="s">
        <v>7</v>
      </c>
      <c r="B30" s="658">
        <f>COUNTIF(C30:AG30,A30)</f>
        <v>0</v>
      </c>
      <c r="C30" s="6" t="str">
        <f t="array" ref="C30">IFERROR(INDEX($AK$17:$AN$116,MATCH(1,(C26&gt;=$AM$17:$AM$116)*($AN$17:$AN$116&gt;=C26)*($AK$17:$AK$116=$U$2),0),2),"")</f>
        <v/>
      </c>
      <c r="D30" s="3" t="str">
        <f t="array" ref="D30">IFERROR(INDEX($AK$17:$AN$116,MATCH(1,(D26&gt;=$AM$17:$AM$116)*($AN$17:$AN$116&gt;=D26)*($AK$17:$AK$116=$U$2),0),2),"")</f>
        <v/>
      </c>
      <c r="E30" s="3" t="str">
        <f t="array" ref="E30">IFERROR(INDEX($AK$17:$AN$116,MATCH(1,(E26&gt;=$AM$17:$AM$116)*($AN$17:$AN$116&gt;=E26)*($AK$17:$AK$116=$U$2),0),2),"")</f>
        <v/>
      </c>
      <c r="F30" s="3" t="str">
        <f t="array" ref="F30">IFERROR(INDEX($AK$17:$AN$116,MATCH(1,(F26&gt;=$AM$17:$AM$116)*($AN$17:$AN$116&gt;=F26)*($AK$17:$AK$116=$U$2),0),2),"")</f>
        <v/>
      </c>
      <c r="G30" s="3" t="str">
        <f t="array" ref="G30">IFERROR(INDEX($AK$17:$AN$116,MATCH(1,(G26&gt;=$AM$17:$AM$116)*($AN$17:$AN$116&gt;=G26)*($AK$17:$AK$116=$U$2),0),2),"")</f>
        <v/>
      </c>
      <c r="H30" s="3" t="str">
        <f t="array" ref="H30">IFERROR(INDEX($AK$17:$AN$116,MATCH(1,(H26&gt;=$AM$17:$AM$116)*($AN$17:$AN$116&gt;=H26)*($AK$17:$AK$116=$U$2),0),2),"")</f>
        <v/>
      </c>
      <c r="I30" s="3" t="str">
        <f t="array" ref="I30">IFERROR(INDEX($AK$17:$AN$116,MATCH(1,(I26&gt;=$AM$17:$AM$116)*($AN$17:$AN$116&gt;=I26)*($AK$17:$AK$116=$U$2),0),2),"")</f>
        <v/>
      </c>
      <c r="J30" s="3" t="str">
        <f t="array" ref="J30">IFERROR(INDEX($AK$17:$AN$116,MATCH(1,(J26&gt;=$AM$17:$AM$116)*($AN$17:$AN$116&gt;=J26)*($AK$17:$AK$116=$U$2),0),2),"")</f>
        <v/>
      </c>
      <c r="K30" s="3" t="str">
        <f t="array" ref="K30">IFERROR(INDEX($AK$17:$AN$116,MATCH(1,(K26&gt;=$AM$17:$AM$116)*($AN$17:$AN$116&gt;=K26)*($AK$17:$AK$116=$U$2),0),2),"")</f>
        <v/>
      </c>
      <c r="L30" s="3" t="str">
        <f t="array" ref="L30">IFERROR(INDEX($AK$17:$AN$116,MATCH(1,(L26&gt;=$AM$17:$AM$116)*($AN$17:$AN$116&gt;=L26)*($AK$17:$AK$116=$U$2),0),2),"")</f>
        <v/>
      </c>
      <c r="M30" s="3" t="str">
        <f t="array" ref="M30">IFERROR(INDEX($AK$17:$AN$116,MATCH(1,(M26&gt;=$AM$17:$AM$116)*($AN$17:$AN$116&gt;=M26)*($AK$17:$AK$116=$U$2),0),2),"")</f>
        <v/>
      </c>
      <c r="N30" s="3" t="str">
        <f t="array" ref="N30">IFERROR(INDEX($AK$17:$AN$116,MATCH(1,(N26&gt;=$AM$17:$AM$116)*($AN$17:$AN$116&gt;=N26)*($AK$17:$AK$116=$U$2),0),2),"")</f>
        <v/>
      </c>
      <c r="O30" s="3" t="str">
        <f t="array" ref="O30">IFERROR(INDEX($AK$17:$AN$116,MATCH(1,(O26&gt;=$AM$17:$AM$116)*($AN$17:$AN$116&gt;=O26)*($AK$17:$AK$116=$U$2),0),2),"")</f>
        <v/>
      </c>
      <c r="P30" s="3" t="str">
        <f t="array" ref="P30">IFERROR(INDEX($AK$17:$AN$116,MATCH(1,(P26&gt;=$AM$17:$AM$116)*($AN$17:$AN$116&gt;=P26)*($AK$17:$AK$116=$U$2),0),2),"")</f>
        <v/>
      </c>
      <c r="Q30" s="3" t="str">
        <f t="array" ref="Q30">IFERROR(INDEX($AK$17:$AN$116,MATCH(1,(Q26&gt;=$AM$17:$AM$116)*($AN$17:$AN$116&gt;=Q26)*($AK$17:$AK$116=$U$2),0),2),"")</f>
        <v/>
      </c>
      <c r="R30" s="3" t="str">
        <f t="array" ref="R30">IFERROR(INDEX($AK$17:$AN$116,MATCH(1,(R26&gt;=$AM$17:$AM$116)*($AN$17:$AN$116&gt;=R26)*($AK$17:$AK$116=$U$2),0),2),"")</f>
        <v/>
      </c>
      <c r="S30" s="3" t="str">
        <f t="array" ref="S30">IFERROR(INDEX($AK$17:$AN$116,MATCH(1,(S26&gt;=$AM$17:$AM$116)*($AN$17:$AN$116&gt;=S26)*($AK$17:$AK$116=$U$2),0),2),"")</f>
        <v/>
      </c>
      <c r="T30" s="3" t="str">
        <f t="array" ref="T30">IFERROR(INDEX($AK$17:$AN$116,MATCH(1,(T26&gt;=$AM$17:$AM$116)*($AN$17:$AN$116&gt;=T26)*($AK$17:$AK$116=$U$2),0),2),"")</f>
        <v/>
      </c>
      <c r="U30" s="3" t="str">
        <f t="array" ref="U30">IFERROR(INDEX($AK$17:$AN$116,MATCH(1,(U26&gt;=$AM$17:$AM$116)*($AN$17:$AN$116&gt;=U26)*($AK$17:$AK$116=$U$2),0),2),"")</f>
        <v/>
      </c>
      <c r="V30" s="3" t="str">
        <f t="array" ref="V30">IFERROR(INDEX($AK$17:$AN$116,MATCH(1,(V26&gt;=$AM$17:$AM$116)*($AN$17:$AN$116&gt;=V26)*($AK$17:$AK$116=$U$2),0),2),"")</f>
        <v>Cp</v>
      </c>
      <c r="W30" s="3" t="str">
        <f t="array" ref="W30">IFERROR(INDEX($AK$17:$AN$116,MATCH(1,(W26&gt;=$AM$17:$AM$116)*($AN$17:$AN$116&gt;=W26)*($AK$17:$AK$116=$U$2),0),2),"")</f>
        <v>Cp</v>
      </c>
      <c r="X30" s="3" t="str">
        <f t="array" ref="X30">IFERROR(INDEX($AK$17:$AN$116,MATCH(1,(X26&gt;=$AM$17:$AM$116)*($AN$17:$AN$116&gt;=X26)*($AK$17:$AK$116=$U$2),0),2),"")</f>
        <v>Cp</v>
      </c>
      <c r="Y30" s="3" t="str">
        <f t="array" ref="Y30">IFERROR(INDEX($AK$17:$AN$116,MATCH(1,(Y26&gt;=$AM$17:$AM$116)*($AN$17:$AN$116&gt;=Y26)*($AK$17:$AK$116=$U$2),0),2),"")</f>
        <v>Cp</v>
      </c>
      <c r="Z30" s="3" t="str">
        <f t="array" ref="Z30">IFERROR(INDEX($AK$17:$AN$116,MATCH(1,(Z26&gt;=$AM$17:$AM$116)*($AN$17:$AN$116&gt;=Z26)*($AK$17:$AK$116=$U$2),0),2),"")</f>
        <v>Cp</v>
      </c>
      <c r="AA30" s="3" t="str">
        <f t="array" ref="AA30">IFERROR(INDEX($AK$17:$AN$116,MATCH(1,(AA26&gt;=$AM$17:$AM$116)*($AN$17:$AN$116&gt;=AA26)*($AK$17:$AK$116=$U$2),0),2),"")</f>
        <v>Cp</v>
      </c>
      <c r="AB30" s="3" t="str">
        <f t="array" ref="AB30">IFERROR(INDEX($AK$17:$AN$116,MATCH(1,(AB26&gt;=$AM$17:$AM$116)*($AN$17:$AN$116&gt;=AB26)*($AK$17:$AK$116=$U$2),0),2),"")</f>
        <v>Cp</v>
      </c>
      <c r="AC30" s="3" t="str">
        <f t="array" ref="AC30">IFERROR(INDEX($AK$17:$AN$116,MATCH(1,(AC26&gt;=$AM$17:$AM$116)*($AN$17:$AN$116&gt;=AC26)*($AK$17:$AK$116=$U$2),0),2),"")</f>
        <v>Cp</v>
      </c>
      <c r="AD30" s="3" t="str">
        <f t="array" ref="AD30">IFERROR(INDEX($AK$17:$AN$116,MATCH(1,(AD26&gt;=$AM$17:$AM$116)*($AN$17:$AN$116&gt;=AD26)*($AK$17:$AK$116=$U$2),0),2),"")</f>
        <v>Cp</v>
      </c>
      <c r="AE30" s="3" t="str">
        <f t="array" ref="AE30">IFERROR(INDEX($AK$17:$AN$116,MATCH(1,(AE26&gt;=$AM$17:$AM$116)*($AN$17:$AN$116&gt;=AE26)*($AK$17:$AK$116=$U$2),0),2),"")</f>
        <v/>
      </c>
      <c r="AF30" s="3" t="str">
        <f t="array" ref="AF30">IFERROR(INDEX($AK$17:$AN$116,MATCH(1,(AF26&gt;=$AM$17:$AM$116)*($AN$17:$AN$116&gt;=AF26)*($AK$17:$AK$116=$U$2),0),2),"")</f>
        <v/>
      </c>
      <c r="AG30" s="7" t="str">
        <f t="array" ref="AG30">IFERROR(INDEX($AK$17:$AN$116,MATCH(1,(AG26&gt;=$AM$17:$AM$116)*($AN$17:$AN$116&gt;=AG26)*($AK$17:$AK$116=$U$2),0),2),"")</f>
        <v/>
      </c>
      <c r="AH30" s="648">
        <f>COUNTIF(C30:AG30,AI30)</f>
        <v>0</v>
      </c>
      <c r="AI30" s="639" t="s">
        <v>362</v>
      </c>
      <c r="AJ30" s="13">
        <v>14</v>
      </c>
      <c r="AK30" t="s">
        <v>5</v>
      </c>
      <c r="AL30" s="10" t="s">
        <v>6</v>
      </c>
      <c r="AM30" s="31">
        <v>44142</v>
      </c>
      <c r="AN30" s="31">
        <v>44152</v>
      </c>
      <c r="AO30" s="635">
        <f>Absences268101214[[#This Row],[debut]]</f>
        <v>44142</v>
      </c>
      <c r="AP30" s="13"/>
      <c r="AQ30" s="623" t="s">
        <v>826</v>
      </c>
      <c r="AR30" s="13"/>
      <c r="AS30" s="13"/>
      <c r="AT30" s="13"/>
      <c r="AU30" s="70"/>
      <c r="AV30" s="57"/>
      <c r="AW30" s="57"/>
      <c r="AX30" s="57"/>
      <c r="AY30" s="54"/>
      <c r="AZ30" s="54"/>
      <c r="BA30" s="54"/>
      <c r="BB30" s="55"/>
      <c r="BC30" s="56"/>
      <c r="BD30" s="56"/>
      <c r="BE30" s="56"/>
      <c r="BF30" s="56"/>
      <c r="BH30" s="290"/>
      <c r="BI30" s="352" t="s">
        <v>544</v>
      </c>
      <c r="BJ30" s="315" t="s">
        <v>545</v>
      </c>
      <c r="BK30" s="292"/>
      <c r="BL30" s="292"/>
      <c r="BM30" s="292"/>
      <c r="BN30" s="294"/>
      <c r="BO30" s="316"/>
      <c r="BP30" s="333" t="s">
        <v>668</v>
      </c>
      <c r="BQ30" s="340">
        <v>13</v>
      </c>
      <c r="BR30" s="335">
        <v>0.29166666666666669</v>
      </c>
      <c r="BS30" s="336">
        <v>0.625</v>
      </c>
      <c r="BT30" s="337">
        <v>1</v>
      </c>
      <c r="BU30" s="338">
        <f t="shared" ref="BU30:BU42" si="18">(BS30-BR30)-("00:30"*BT30)</f>
        <v>0.3125</v>
      </c>
      <c r="BV30" s="331"/>
      <c r="BW30" s="313"/>
      <c r="BZ30" s="359">
        <f t="shared" si="11"/>
        <v>44423</v>
      </c>
      <c r="CA30" s="360">
        <f>DATE(BZ4+1,8,15)</f>
        <v>44423</v>
      </c>
      <c r="CB30" s="361" t="s">
        <v>586</v>
      </c>
      <c r="CC30" s="563"/>
      <c r="CD30" s="563"/>
      <c r="CE30" s="563"/>
    </row>
    <row r="31" spans="1:83" ht="16.5" customHeight="1" thickBot="1" x14ac:dyDescent="0.3">
      <c r="A31" s="678"/>
      <c r="B31" s="40">
        <f>COUNTA(C31:AG31)</f>
        <v>0</v>
      </c>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677"/>
      <c r="AI31" s="678"/>
      <c r="AJ31" s="13">
        <v>15</v>
      </c>
      <c r="AL31" s="23"/>
      <c r="AM31" s="31"/>
      <c r="AN31" s="31"/>
      <c r="AO31" s="635">
        <f>Absences268101214[[#This Row],[debut]]</f>
        <v>0</v>
      </c>
      <c r="AP31" s="13"/>
      <c r="AQ31" s="13"/>
      <c r="AR31" s="13"/>
      <c r="AS31" s="13"/>
      <c r="AT31" s="13"/>
      <c r="AU31" s="94" t="s">
        <v>90</v>
      </c>
      <c r="AV31" s="50">
        <v>0.29166666666666669</v>
      </c>
      <c r="AW31" s="50">
        <v>0.64583333333333337</v>
      </c>
      <c r="AX31" s="51">
        <v>1</v>
      </c>
      <c r="AY31" s="52">
        <f>IF(AW31-AV31=0,0,(AW31-AV31)-(AX31*TIMEVALUE("00:30")))</f>
        <v>0.33333333333333337</v>
      </c>
      <c r="AZ31" s="53" t="s">
        <v>128</v>
      </c>
      <c r="BA31" s="54"/>
      <c r="BB31" s="55"/>
      <c r="BC31" s="56"/>
      <c r="BD31" s="56"/>
      <c r="BE31" s="56"/>
      <c r="BF31" s="56"/>
      <c r="BH31" s="290"/>
      <c r="BI31" s="351" t="s">
        <v>548</v>
      </c>
      <c r="BJ31" s="315" t="s">
        <v>549</v>
      </c>
      <c r="BK31" s="292"/>
      <c r="BL31" s="292"/>
      <c r="BM31" s="292"/>
      <c r="BN31" s="294"/>
      <c r="BO31" s="316"/>
      <c r="BP31" s="333" t="s">
        <v>669</v>
      </c>
      <c r="BQ31" s="341">
        <v>13</v>
      </c>
      <c r="BR31" s="342">
        <v>0.5625</v>
      </c>
      <c r="BS31" s="343">
        <v>0.60416666666666663</v>
      </c>
      <c r="BT31" s="344">
        <v>0</v>
      </c>
      <c r="BU31" s="345">
        <f t="shared" si="18"/>
        <v>4.166666666666663E-2</v>
      </c>
      <c r="BV31" s="331"/>
      <c r="BW31" s="313"/>
      <c r="BZ31" s="359">
        <f t="shared" si="11"/>
        <v>44501</v>
      </c>
      <c r="CA31" s="360">
        <f>DATE(BZ4+1,11,1)</f>
        <v>44501</v>
      </c>
      <c r="CB31" s="361" t="s">
        <v>735</v>
      </c>
      <c r="CC31" s="563"/>
      <c r="CD31" s="563"/>
      <c r="CE31" s="563"/>
    </row>
    <row r="32" spans="1:83" ht="14.25" customHeight="1" x14ac:dyDescent="0.25">
      <c r="A32" s="651"/>
      <c r="B32" s="20">
        <f>DATE($C$2,MONTH(1&amp;"/"&amp;C33),1)</f>
        <v>43952</v>
      </c>
      <c r="C32" s="14">
        <f>B32</f>
        <v>43952</v>
      </c>
      <c r="D32" s="14">
        <f>IFERROR(IF(C32+1&gt;$B$33,"",C32+1),"")</f>
        <v>43953</v>
      </c>
      <c r="E32" s="14">
        <f t="shared" ref="E32:AG32" si="19">IFERROR(IF(D32+1&gt;$B$33,"",D32+1),"")</f>
        <v>43954</v>
      </c>
      <c r="F32" s="14">
        <f t="shared" si="19"/>
        <v>43955</v>
      </c>
      <c r="G32" s="14">
        <f t="shared" si="19"/>
        <v>43956</v>
      </c>
      <c r="H32" s="14">
        <f t="shared" si="19"/>
        <v>43957</v>
      </c>
      <c r="I32" s="14">
        <f t="shared" si="19"/>
        <v>43958</v>
      </c>
      <c r="J32" s="14">
        <f t="shared" si="19"/>
        <v>43959</v>
      </c>
      <c r="K32" s="14">
        <f t="shared" si="19"/>
        <v>43960</v>
      </c>
      <c r="L32" s="14">
        <f t="shared" si="19"/>
        <v>43961</v>
      </c>
      <c r="M32" s="14">
        <f t="shared" si="19"/>
        <v>43962</v>
      </c>
      <c r="N32" s="14">
        <f t="shared" si="19"/>
        <v>43963</v>
      </c>
      <c r="O32" s="14">
        <f t="shared" si="19"/>
        <v>43964</v>
      </c>
      <c r="P32" s="14">
        <f t="shared" si="19"/>
        <v>43965</v>
      </c>
      <c r="Q32" s="14">
        <f t="shared" si="19"/>
        <v>43966</v>
      </c>
      <c r="R32" s="14">
        <f t="shared" si="19"/>
        <v>43967</v>
      </c>
      <c r="S32" s="14">
        <f t="shared" si="19"/>
        <v>43968</v>
      </c>
      <c r="T32" s="14">
        <f t="shared" si="19"/>
        <v>43969</v>
      </c>
      <c r="U32" s="14">
        <f t="shared" si="19"/>
        <v>43970</v>
      </c>
      <c r="V32" s="14">
        <f t="shared" si="19"/>
        <v>43971</v>
      </c>
      <c r="W32" s="14">
        <f t="shared" si="19"/>
        <v>43972</v>
      </c>
      <c r="X32" s="14">
        <f t="shared" si="19"/>
        <v>43973</v>
      </c>
      <c r="Y32" s="14">
        <f t="shared" si="19"/>
        <v>43974</v>
      </c>
      <c r="Z32" s="14">
        <f t="shared" si="19"/>
        <v>43975</v>
      </c>
      <c r="AA32" s="14">
        <f t="shared" si="19"/>
        <v>43976</v>
      </c>
      <c r="AB32" s="14">
        <f t="shared" si="19"/>
        <v>43977</v>
      </c>
      <c r="AC32" s="14">
        <f t="shared" si="19"/>
        <v>43978</v>
      </c>
      <c r="AD32" s="14">
        <f t="shared" si="19"/>
        <v>43979</v>
      </c>
      <c r="AE32" s="14">
        <f t="shared" si="19"/>
        <v>43980</v>
      </c>
      <c r="AF32" s="14">
        <f t="shared" si="19"/>
        <v>43981</v>
      </c>
      <c r="AG32" s="14">
        <f t="shared" si="19"/>
        <v>43982</v>
      </c>
      <c r="AH32" s="647">
        <f>COUNTIF(C36:AG36,AI32)</f>
        <v>6</v>
      </c>
      <c r="AI32" s="640" t="s">
        <v>8</v>
      </c>
      <c r="AJ32" s="13">
        <v>16</v>
      </c>
      <c r="AL32" s="23"/>
      <c r="AM32" s="31"/>
      <c r="AN32" s="31"/>
      <c r="AO32" s="635">
        <f>Absences268101214[[#This Row],[debut]]</f>
        <v>0</v>
      </c>
      <c r="AP32" s="13"/>
      <c r="AQ32" s="13"/>
      <c r="AR32" s="45"/>
      <c r="AS32" s="45"/>
      <c r="AT32" s="45"/>
      <c r="AU32" s="70"/>
      <c r="AV32" s="57"/>
      <c r="AW32" s="57"/>
      <c r="AX32" s="57"/>
      <c r="AY32" s="54"/>
      <c r="AZ32" s="54"/>
      <c r="BA32" s="54"/>
      <c r="BB32" s="55"/>
      <c r="BC32" s="56"/>
      <c r="BD32" s="56"/>
      <c r="BE32" s="56"/>
      <c r="BF32" s="56"/>
      <c r="BH32" s="290"/>
      <c r="BI32" s="353" t="s">
        <v>670</v>
      </c>
      <c r="BJ32" s="315" t="s">
        <v>550</v>
      </c>
      <c r="BK32" s="315"/>
      <c r="BL32" s="315"/>
      <c r="BM32" s="315"/>
      <c r="BN32" s="315"/>
      <c r="BO32" s="316"/>
      <c r="BP32" s="333" t="s">
        <v>671</v>
      </c>
      <c r="BQ32" s="340">
        <v>14</v>
      </c>
      <c r="BR32" s="335">
        <v>0.25</v>
      </c>
      <c r="BS32" s="336">
        <v>0.5625</v>
      </c>
      <c r="BT32" s="337">
        <v>1</v>
      </c>
      <c r="BU32" s="338">
        <f t="shared" si="18"/>
        <v>0.29166666666666669</v>
      </c>
      <c r="BV32" s="315"/>
      <c r="BW32" s="313"/>
      <c r="BZ32" s="359">
        <f t="shared" si="11"/>
        <v>44511</v>
      </c>
      <c r="CA32" s="360">
        <f>DATE(BZ4+1,11,11)</f>
        <v>44511</v>
      </c>
      <c r="CB32" s="361" t="s">
        <v>587</v>
      </c>
      <c r="CC32" s="563"/>
      <c r="CD32" s="563"/>
      <c r="CE32" s="563"/>
    </row>
    <row r="33" spans="1:83" ht="21.75" thickBot="1" x14ac:dyDescent="0.3">
      <c r="A33" s="652"/>
      <c r="B33" s="21">
        <f>EOMONTH(B32,0)</f>
        <v>43982</v>
      </c>
      <c r="C33" s="1476" t="s">
        <v>46</v>
      </c>
      <c r="D33" s="1477"/>
      <c r="E33" s="1477"/>
      <c r="F33" s="1477"/>
      <c r="G33" s="1477"/>
      <c r="H33" s="1477"/>
      <c r="I33" s="1477"/>
      <c r="J33" s="1477"/>
      <c r="K33" s="1477"/>
      <c r="L33" s="1477"/>
      <c r="M33" s="1477"/>
      <c r="N33" s="1477"/>
      <c r="O33" s="1477"/>
      <c r="P33" s="1477"/>
      <c r="Q33" s="1477"/>
      <c r="R33" s="1477"/>
      <c r="S33" s="1477"/>
      <c r="T33" s="1477"/>
      <c r="U33" s="1477"/>
      <c r="V33" s="1477"/>
      <c r="W33" s="1477"/>
      <c r="X33" s="1477"/>
      <c r="Y33" s="1477"/>
      <c r="Z33" s="1477"/>
      <c r="AA33" s="1477"/>
      <c r="AB33" s="1477"/>
      <c r="AC33" s="1477"/>
      <c r="AD33" s="1477"/>
      <c r="AE33" s="1477"/>
      <c r="AF33" s="1477"/>
      <c r="AG33" s="1478"/>
      <c r="AH33" s="648">
        <f>COUNTIF(C36:AG36,AI33)</f>
        <v>0</v>
      </c>
      <c r="AI33" s="629" t="s">
        <v>360</v>
      </c>
      <c r="AJ33" s="13">
        <v>17</v>
      </c>
      <c r="AL33" s="23"/>
      <c r="AM33" s="31"/>
      <c r="AN33" s="31"/>
      <c r="AO33" s="635">
        <f>Absences268101214[[#This Row],[debut]]</f>
        <v>0</v>
      </c>
      <c r="AP33" s="13"/>
      <c r="AQ33" s="13"/>
      <c r="AR33" s="13"/>
      <c r="AS33" s="13"/>
      <c r="AT33" s="13"/>
      <c r="AU33" s="94" t="s">
        <v>91</v>
      </c>
      <c r="AV33" s="50">
        <v>0.25</v>
      </c>
      <c r="AW33" s="50">
        <v>0.58333333333333337</v>
      </c>
      <c r="AX33" s="51">
        <v>1</v>
      </c>
      <c r="AY33" s="52">
        <f>IF(AW33-AV33=0,0,(AW33-AV33)-(AX33*TIMEVALUE("00:30")))</f>
        <v>0.31250000000000006</v>
      </c>
      <c r="AZ33" s="53" t="s">
        <v>69</v>
      </c>
      <c r="BA33" s="54"/>
      <c r="BB33" s="55"/>
      <c r="BC33" s="56"/>
      <c r="BD33" s="56"/>
      <c r="BE33" s="56"/>
      <c r="BF33" s="56"/>
      <c r="BH33" s="290"/>
      <c r="BI33" s="354" t="s">
        <v>515</v>
      </c>
      <c r="BJ33" s="315" t="s">
        <v>516</v>
      </c>
      <c r="BK33" s="294"/>
      <c r="BL33" s="294"/>
      <c r="BM33" s="294"/>
      <c r="BN33" s="294"/>
      <c r="BO33" s="316"/>
      <c r="BP33" s="333" t="s">
        <v>672</v>
      </c>
      <c r="BQ33" s="341">
        <v>14</v>
      </c>
      <c r="BR33" s="342">
        <v>0</v>
      </c>
      <c r="BS33" s="343">
        <v>0</v>
      </c>
      <c r="BT33" s="344">
        <v>0</v>
      </c>
      <c r="BU33" s="345">
        <f>(BS33-BR33)-("00:30"*BT33)</f>
        <v>0</v>
      </c>
      <c r="BV33" s="294"/>
      <c r="BW33" s="313"/>
      <c r="BZ33" s="359">
        <f t="shared" si="11"/>
        <v>44555</v>
      </c>
      <c r="CA33" s="360">
        <f>DATE(BZ4+1,12,25)</f>
        <v>44555</v>
      </c>
      <c r="CB33" s="361" t="s">
        <v>723</v>
      </c>
      <c r="CC33" s="563"/>
      <c r="CD33" s="563"/>
      <c r="CE33" s="563"/>
    </row>
    <row r="34" spans="1:83" ht="15.75" customHeight="1" x14ac:dyDescent="0.25">
      <c r="A34" s="654" t="s">
        <v>662</v>
      </c>
      <c r="B34" s="657">
        <f>COUNTIF(C36:AG36,A34)</f>
        <v>0</v>
      </c>
      <c r="C34" s="6">
        <f t="shared" ref="C34:AG34" si="20">IFERROR(DAY(C32),"")</f>
        <v>1</v>
      </c>
      <c r="D34" s="3">
        <f t="shared" si="20"/>
        <v>2</v>
      </c>
      <c r="E34" s="3">
        <f t="shared" si="20"/>
        <v>3</v>
      </c>
      <c r="F34" s="3">
        <f t="shared" si="20"/>
        <v>4</v>
      </c>
      <c r="G34" s="3">
        <f t="shared" si="20"/>
        <v>5</v>
      </c>
      <c r="H34" s="3">
        <f t="shared" si="20"/>
        <v>6</v>
      </c>
      <c r="I34" s="3">
        <f t="shared" si="20"/>
        <v>7</v>
      </c>
      <c r="J34" s="3">
        <f t="shared" si="20"/>
        <v>8</v>
      </c>
      <c r="K34" s="3">
        <f t="shared" si="20"/>
        <v>9</v>
      </c>
      <c r="L34" s="3">
        <f t="shared" si="20"/>
        <v>10</v>
      </c>
      <c r="M34" s="3">
        <f t="shared" si="20"/>
        <v>11</v>
      </c>
      <c r="N34" s="3">
        <f t="shared" si="20"/>
        <v>12</v>
      </c>
      <c r="O34" s="3">
        <f t="shared" si="20"/>
        <v>13</v>
      </c>
      <c r="P34" s="3">
        <f t="shared" si="20"/>
        <v>14</v>
      </c>
      <c r="Q34" s="3">
        <f t="shared" si="20"/>
        <v>15</v>
      </c>
      <c r="R34" s="3">
        <f t="shared" si="20"/>
        <v>16</v>
      </c>
      <c r="S34" s="3">
        <f t="shared" si="20"/>
        <v>17</v>
      </c>
      <c r="T34" s="3">
        <f t="shared" si="20"/>
        <v>18</v>
      </c>
      <c r="U34" s="3">
        <f t="shared" si="20"/>
        <v>19</v>
      </c>
      <c r="V34" s="3">
        <f t="shared" si="20"/>
        <v>20</v>
      </c>
      <c r="W34" s="3">
        <f t="shared" si="20"/>
        <v>21</v>
      </c>
      <c r="X34" s="3">
        <f t="shared" si="20"/>
        <v>22</v>
      </c>
      <c r="Y34" s="3">
        <f t="shared" si="20"/>
        <v>23</v>
      </c>
      <c r="Z34" s="3">
        <f t="shared" si="20"/>
        <v>24</v>
      </c>
      <c r="AA34" s="3">
        <f t="shared" si="20"/>
        <v>25</v>
      </c>
      <c r="AB34" s="3">
        <f t="shared" si="20"/>
        <v>26</v>
      </c>
      <c r="AC34" s="3">
        <f t="shared" si="20"/>
        <v>27</v>
      </c>
      <c r="AD34" s="3">
        <f t="shared" si="20"/>
        <v>28</v>
      </c>
      <c r="AE34" s="3">
        <f t="shared" si="20"/>
        <v>29</v>
      </c>
      <c r="AF34" s="3">
        <f t="shared" si="20"/>
        <v>30</v>
      </c>
      <c r="AG34" s="7">
        <f t="shared" si="20"/>
        <v>31</v>
      </c>
      <c r="AH34" s="648">
        <f>COUNTIF(C36:AG36,AI34)</f>
        <v>0</v>
      </c>
      <c r="AI34" s="10" t="s">
        <v>6</v>
      </c>
      <c r="AJ34" s="13">
        <v>18</v>
      </c>
      <c r="AL34" s="23"/>
      <c r="AM34" s="31"/>
      <c r="AN34" s="31"/>
      <c r="AO34" s="635">
        <f>Absences268101214[[#This Row],[debut]]</f>
        <v>0</v>
      </c>
      <c r="AP34" s="13"/>
      <c r="AQ34" s="13"/>
      <c r="AR34" s="13"/>
      <c r="AS34" s="13"/>
      <c r="AT34" s="13"/>
      <c r="AU34" s="1506" t="s">
        <v>70</v>
      </c>
      <c r="AV34" s="1506"/>
      <c r="AW34" s="1506"/>
      <c r="AX34" s="1506"/>
      <c r="AY34" s="1506"/>
      <c r="AZ34" s="1506"/>
      <c r="BA34" s="1506"/>
      <c r="BB34" s="1506"/>
      <c r="BC34" s="1506"/>
      <c r="BD34" s="1506"/>
      <c r="BE34" s="1506"/>
      <c r="BF34" s="1506"/>
      <c r="BH34" s="290"/>
      <c r="BI34" s="354" t="s">
        <v>518</v>
      </c>
      <c r="BJ34" s="315" t="s">
        <v>519</v>
      </c>
      <c r="BK34" s="294"/>
      <c r="BL34" s="294"/>
      <c r="BM34" s="294"/>
      <c r="BN34" s="294"/>
      <c r="BO34" s="316"/>
      <c r="BP34" s="333" t="s">
        <v>673</v>
      </c>
      <c r="BQ34" s="340">
        <v>16</v>
      </c>
      <c r="BR34" s="335">
        <v>0.3125</v>
      </c>
      <c r="BS34" s="336">
        <v>0.5</v>
      </c>
      <c r="BT34" s="337">
        <v>1</v>
      </c>
      <c r="BU34" s="338">
        <f t="shared" si="18"/>
        <v>0.16666666666666666</v>
      </c>
      <c r="BV34" s="294"/>
      <c r="BW34" s="313"/>
      <c r="BZ34" s="366">
        <f>CA34</f>
        <v>44562</v>
      </c>
      <c r="CA34" s="367">
        <f>DATE(BZ4+2,1,1)</f>
        <v>44562</v>
      </c>
      <c r="CB34" s="368" t="s">
        <v>721</v>
      </c>
      <c r="CC34" s="563"/>
      <c r="CD34" s="563"/>
      <c r="CE34" s="563"/>
    </row>
    <row r="35" spans="1:83" ht="16.5" customHeight="1" x14ac:dyDescent="0.25">
      <c r="A35" s="655" t="s">
        <v>800</v>
      </c>
      <c r="B35" s="658">
        <f>COUNTIF(C36:AG36,A35)</f>
        <v>0</v>
      </c>
      <c r="C35" s="5">
        <f t="shared" ref="C35:AC35" si="21">IF(C32="","",WEEKDAY(C32,1))</f>
        <v>6</v>
      </c>
      <c r="D35" s="8">
        <f t="shared" si="21"/>
        <v>7</v>
      </c>
      <c r="E35" s="8">
        <f t="shared" si="21"/>
        <v>1</v>
      </c>
      <c r="F35" s="8">
        <f t="shared" si="21"/>
        <v>2</v>
      </c>
      <c r="G35" s="8">
        <f t="shared" si="21"/>
        <v>3</v>
      </c>
      <c r="H35" s="8">
        <f t="shared" si="21"/>
        <v>4</v>
      </c>
      <c r="I35" s="8">
        <f t="shared" si="21"/>
        <v>5</v>
      </c>
      <c r="J35" s="8">
        <f t="shared" si="21"/>
        <v>6</v>
      </c>
      <c r="K35" s="8">
        <f t="shared" si="21"/>
        <v>7</v>
      </c>
      <c r="L35" s="8">
        <f t="shared" si="21"/>
        <v>1</v>
      </c>
      <c r="M35" s="8">
        <f t="shared" si="21"/>
        <v>2</v>
      </c>
      <c r="N35" s="8">
        <f t="shared" si="21"/>
        <v>3</v>
      </c>
      <c r="O35" s="8">
        <f t="shared" si="21"/>
        <v>4</v>
      </c>
      <c r="P35" s="8">
        <f t="shared" si="21"/>
        <v>5</v>
      </c>
      <c r="Q35" s="8">
        <f t="shared" si="21"/>
        <v>6</v>
      </c>
      <c r="R35" s="8">
        <f t="shared" si="21"/>
        <v>7</v>
      </c>
      <c r="S35" s="8">
        <f t="shared" si="21"/>
        <v>1</v>
      </c>
      <c r="T35" s="8">
        <f t="shared" si="21"/>
        <v>2</v>
      </c>
      <c r="U35" s="8">
        <f t="shared" si="21"/>
        <v>3</v>
      </c>
      <c r="V35" s="8">
        <f t="shared" si="21"/>
        <v>4</v>
      </c>
      <c r="W35" s="8">
        <f t="shared" si="21"/>
        <v>5</v>
      </c>
      <c r="X35" s="8">
        <f t="shared" si="21"/>
        <v>6</v>
      </c>
      <c r="Y35" s="8">
        <f t="shared" si="21"/>
        <v>7</v>
      </c>
      <c r="Z35" s="8">
        <f t="shared" si="21"/>
        <v>1</v>
      </c>
      <c r="AA35" s="8">
        <f t="shared" si="21"/>
        <v>2</v>
      </c>
      <c r="AB35" s="8">
        <f t="shared" si="21"/>
        <v>3</v>
      </c>
      <c r="AC35" s="8">
        <f t="shared" si="21"/>
        <v>4</v>
      </c>
      <c r="AD35" s="8">
        <f>IF(AD32="","",WEEKDAY(AD32,1))</f>
        <v>5</v>
      </c>
      <c r="AE35" s="8">
        <f>IF(AE32="","",WEEKDAY(AE32,1))</f>
        <v>6</v>
      </c>
      <c r="AF35" s="8">
        <f t="shared" ref="AF35:AG35" si="22">IF(AF32="","",WEEKDAY(AF32,1))</f>
        <v>7</v>
      </c>
      <c r="AG35" s="9">
        <f t="shared" si="22"/>
        <v>1</v>
      </c>
      <c r="AH35" s="648">
        <f>COUNTIF(C36:AG36,AI35)</f>
        <v>0</v>
      </c>
      <c r="AI35" s="633" t="s">
        <v>799</v>
      </c>
      <c r="AJ35" s="13">
        <v>19</v>
      </c>
      <c r="AL35" s="23"/>
      <c r="AM35" s="31"/>
      <c r="AN35" s="31"/>
      <c r="AO35" s="635">
        <f>Absences268101214[[#This Row],[debut]]</f>
        <v>0</v>
      </c>
      <c r="AP35" s="13"/>
      <c r="AQ35" s="13"/>
      <c r="AR35" s="13"/>
      <c r="AS35" s="13"/>
      <c r="AT35" s="13"/>
      <c r="AU35" s="1506"/>
      <c r="AV35" s="1506"/>
      <c r="AW35" s="1506"/>
      <c r="AX35" s="1506"/>
      <c r="AY35" s="1506"/>
      <c r="AZ35" s="1506"/>
      <c r="BA35" s="1506"/>
      <c r="BB35" s="1506"/>
      <c r="BC35" s="1506"/>
      <c r="BD35" s="1506"/>
      <c r="BE35" s="1506"/>
      <c r="BF35" s="1506"/>
      <c r="BH35" s="290"/>
      <c r="BI35" s="354" t="s">
        <v>520</v>
      </c>
      <c r="BJ35" s="315" t="s">
        <v>521</v>
      </c>
      <c r="BK35" s="294"/>
      <c r="BL35" s="294"/>
      <c r="BM35" s="294"/>
      <c r="BN35" s="294"/>
      <c r="BO35" s="316"/>
      <c r="BP35" s="333" t="s">
        <v>674</v>
      </c>
      <c r="BQ35" s="340">
        <v>17</v>
      </c>
      <c r="BR35" s="335">
        <v>0.52083333333333337</v>
      </c>
      <c r="BS35" s="336">
        <v>0.66666666666666663</v>
      </c>
      <c r="BT35" s="337">
        <v>1</v>
      </c>
      <c r="BU35" s="338">
        <f t="shared" si="18"/>
        <v>0.12499999999999993</v>
      </c>
      <c r="BV35" s="294"/>
      <c r="BW35" s="313"/>
    </row>
    <row r="36" spans="1:83" ht="16.5" customHeight="1" x14ac:dyDescent="0.25">
      <c r="A36" s="679" t="s">
        <v>7</v>
      </c>
      <c r="B36" s="658">
        <f>COUNTIF(C36:AG36,A36)</f>
        <v>0</v>
      </c>
      <c r="C36" s="6" t="str">
        <f t="array" ref="C36">IFERROR(INDEX($AK$17:$AN$116,MATCH(1,(C32&gt;=$AM$17:$AM$116)*($AN$17:$AN$116&gt;=C32)*($AK$17:$AK$116=$U$2),0),2),"")</f>
        <v/>
      </c>
      <c r="D36" s="3" t="str">
        <f t="array" ref="D36">IFERROR(INDEX($AK$17:$AN$116,MATCH(1,(D32&gt;=$AM$17:$AM$116)*($AN$17:$AN$116&gt;=D32)*($AK$17:$AK$116=$U$2),0),2),"")</f>
        <v/>
      </c>
      <c r="E36" s="3" t="str">
        <f t="array" ref="E36">IFERROR(INDEX($AK$17:$AN$116,MATCH(1,(E32&gt;=$AM$17:$AM$116)*($AN$17:$AN$116&gt;=E32)*($AK$17:$AK$116=$U$2),0),2),"")</f>
        <v/>
      </c>
      <c r="F36" s="3" t="str">
        <f t="array" ref="F36">IFERROR(INDEX($AK$17:$AN$116,MATCH(1,(F32&gt;=$AM$17:$AM$116)*($AN$17:$AN$116&gt;=F32)*($AK$17:$AK$116=$U$2),0),2),"")</f>
        <v/>
      </c>
      <c r="G36" s="3" t="str">
        <f t="array" ref="G36">IFERROR(INDEX($AK$17:$AN$116,MATCH(1,(G32&gt;=$AM$17:$AM$116)*($AN$17:$AN$116&gt;=G32)*($AK$17:$AK$116=$U$2),0),2),"")</f>
        <v/>
      </c>
      <c r="H36" s="3" t="str">
        <f t="array" ref="H36">IFERROR(INDEX($AK$17:$AN$116,MATCH(1,(H32&gt;=$AM$17:$AM$116)*($AN$17:$AN$116&gt;=H32)*($AK$17:$AK$116=$U$2),0),2),"")</f>
        <v/>
      </c>
      <c r="I36" s="3" t="str">
        <f t="array" ref="I36">IFERROR(INDEX($AK$17:$AN$116,MATCH(1,(I32&gt;=$AM$17:$AM$116)*($AN$17:$AN$116&gt;=I32)*($AK$17:$AK$116=$U$2),0),2),"")</f>
        <v>RTT</v>
      </c>
      <c r="J36" s="3" t="str">
        <f t="array" ref="J36">IFERROR(INDEX($AK$17:$AN$116,MATCH(1,(J32&gt;=$AM$17:$AM$116)*($AN$17:$AN$116&gt;=J32)*($AK$17:$AK$116=$U$2),0),2),"")</f>
        <v>RTT</v>
      </c>
      <c r="K36" s="3" t="str">
        <f t="array" ref="K36">IFERROR(INDEX($AK$17:$AN$116,MATCH(1,(K32&gt;=$AM$17:$AM$116)*($AN$17:$AN$116&gt;=K32)*($AK$17:$AK$116=$U$2),0),2),"")</f>
        <v>RTT</v>
      </c>
      <c r="L36" s="3" t="str">
        <f t="array" ref="L36">IFERROR(INDEX($AK$17:$AN$116,MATCH(1,(L32&gt;=$AM$17:$AM$116)*($AN$17:$AN$116&gt;=L32)*($AK$17:$AK$116=$U$2),0),2),"")</f>
        <v>RTT</v>
      </c>
      <c r="M36" s="3" t="str">
        <f t="array" ref="M36">IFERROR(INDEX($AK$17:$AN$116,MATCH(1,(M32&gt;=$AM$17:$AM$116)*($AN$17:$AN$116&gt;=M32)*($AK$17:$AK$116=$U$2),0),2),"")</f>
        <v>RTT</v>
      </c>
      <c r="N36" s="3" t="str">
        <f t="array" ref="N36">IFERROR(INDEX($AK$17:$AN$116,MATCH(1,(N32&gt;=$AM$17:$AM$116)*($AN$17:$AN$116&gt;=N32)*($AK$17:$AK$116=$U$2),0),2),"")</f>
        <v>RTT</v>
      </c>
      <c r="O36" s="3" t="str">
        <f t="array" ref="O36">IFERROR(INDEX($AK$17:$AN$116,MATCH(1,(O32&gt;=$AM$17:$AM$116)*($AN$17:$AN$116&gt;=O32)*($AK$17:$AK$116=$U$2),0),2),"")</f>
        <v/>
      </c>
      <c r="P36" s="3" t="str">
        <f t="array" ref="P36">IFERROR(INDEX($AK$17:$AN$116,MATCH(1,(P32&gt;=$AM$17:$AM$116)*($AN$17:$AN$116&gt;=P32)*($AK$17:$AK$116=$U$2),0),2),"")</f>
        <v/>
      </c>
      <c r="Q36" s="3" t="str">
        <f t="array" ref="Q36">IFERROR(INDEX($AK$17:$AN$116,MATCH(1,(Q32&gt;=$AM$17:$AM$116)*($AN$17:$AN$116&gt;=Q32)*($AK$17:$AK$116=$U$2),0),2),"")</f>
        <v/>
      </c>
      <c r="R36" s="3" t="str">
        <f t="array" ref="R36">IFERROR(INDEX($AK$17:$AN$116,MATCH(1,(R32&gt;=$AM$17:$AM$116)*($AN$17:$AN$116&gt;=R32)*($AK$17:$AK$116=$U$2),0),2),"")</f>
        <v/>
      </c>
      <c r="S36" s="3" t="str">
        <f t="array" ref="S36">IFERROR(INDEX($AK$17:$AN$116,MATCH(1,(S32&gt;=$AM$17:$AM$116)*($AN$17:$AN$116&gt;=S32)*($AK$17:$AK$116=$U$2),0),2),"")</f>
        <v/>
      </c>
      <c r="T36" s="3" t="str">
        <f t="array" ref="T36">IFERROR(INDEX($AK$17:$AN$116,MATCH(1,(T32&gt;=$AM$17:$AM$116)*($AN$17:$AN$116&gt;=T32)*($AK$17:$AK$116=$U$2),0),2),"")</f>
        <v/>
      </c>
      <c r="U36" s="3" t="str">
        <f t="array" ref="U36">IFERROR(INDEX($AK$17:$AN$116,MATCH(1,(U32&gt;=$AM$17:$AM$116)*($AN$17:$AN$116&gt;=U32)*($AK$17:$AK$116=$U$2),0),2),"")</f>
        <v/>
      </c>
      <c r="V36" s="3" t="str">
        <f t="array" ref="V36">IFERROR(INDEX($AK$17:$AN$116,MATCH(1,(V32&gt;=$AM$17:$AM$116)*($AN$17:$AN$116&gt;=V32)*($AK$17:$AK$116=$U$2),0),2),"")</f>
        <v/>
      </c>
      <c r="W36" s="3" t="str">
        <f t="array" ref="W36">IFERROR(INDEX($AK$17:$AN$116,MATCH(1,(W32&gt;=$AM$17:$AM$116)*($AN$17:$AN$116&gt;=W32)*($AK$17:$AK$116=$U$2),0),2),"")</f>
        <v/>
      </c>
      <c r="X36" s="3" t="str">
        <f t="array" ref="X36">IFERROR(INDEX($AK$17:$AN$116,MATCH(1,(X32&gt;=$AM$17:$AM$116)*($AN$17:$AN$116&gt;=X32)*($AK$17:$AK$116=$U$2),0),2),"")</f>
        <v/>
      </c>
      <c r="Y36" s="3" t="str">
        <f t="array" ref="Y36">IFERROR(INDEX($AK$17:$AN$116,MATCH(1,(Y32&gt;=$AM$17:$AM$116)*($AN$17:$AN$116&gt;=Y32)*($AK$17:$AK$116=$U$2),0),2),"")</f>
        <v/>
      </c>
      <c r="Z36" s="3" t="str">
        <f t="array" ref="Z36">IFERROR(INDEX($AK$17:$AN$116,MATCH(1,(Z32&gt;=$AM$17:$AM$116)*($AN$17:$AN$116&gt;=Z32)*($AK$17:$AK$116=$U$2),0),2),"")</f>
        <v/>
      </c>
      <c r="AA36" s="3" t="str">
        <f t="array" ref="AA36">IFERROR(INDEX($AK$17:$AN$116,MATCH(1,(AA32&gt;=$AM$17:$AM$116)*($AN$17:$AN$116&gt;=AA32)*($AK$17:$AK$116=$U$2),0),2),"")</f>
        <v/>
      </c>
      <c r="AB36" s="3" t="str">
        <f t="array" ref="AB36">IFERROR(INDEX($AK$17:$AN$116,MATCH(1,(AB32&gt;=$AM$17:$AM$116)*($AN$17:$AN$116&gt;=AB32)*($AK$17:$AK$116=$U$2),0),2),"")</f>
        <v/>
      </c>
      <c r="AC36" s="3" t="str">
        <f t="array" ref="AC36">IFERROR(INDEX($AK$17:$AN$116,MATCH(1,(AC32&gt;=$AM$17:$AM$116)*($AN$17:$AN$116&gt;=AC32)*($AK$17:$AK$116=$U$2),0),2),"")</f>
        <v/>
      </c>
      <c r="AD36" s="3" t="str">
        <f t="array" ref="AD36">IFERROR(INDEX($AK$17:$AN$116,MATCH(1,(AD32&gt;=$AM$17:$AM$116)*($AN$17:$AN$116&gt;=AD32)*($AK$17:$AK$116=$U$2),0),2),"")</f>
        <v/>
      </c>
      <c r="AE36" s="3" t="str">
        <f t="array" ref="AE36">IFERROR(INDEX($AK$17:$AN$116,MATCH(1,(AE32&gt;=$AM$17:$AM$116)*($AN$17:$AN$116&gt;=AE32)*($AK$17:$AK$116=$U$2),0),2),"")</f>
        <v/>
      </c>
      <c r="AF36" s="3" t="str">
        <f t="array" ref="AF36">IFERROR(INDEX($AK$17:$AN$116,MATCH(1,(AF32&gt;=$AM$17:$AM$116)*($AN$17:$AN$116&gt;=AF32)*($AK$17:$AK$116=$U$2),0),2),"")</f>
        <v/>
      </c>
      <c r="AG36" s="7" t="str">
        <f t="array" ref="AG36">IFERROR(INDEX($AK$17:$AN$116,MATCH(1,(AG32&gt;=$AM$17:$AM$116)*($AN$17:$AN$116&gt;=AG32)*($AK$17:$AK$116=$U$2),0),2),"")</f>
        <v/>
      </c>
      <c r="AH36" s="648">
        <f>COUNTIF(C36:AG36,AI36)</f>
        <v>0</v>
      </c>
      <c r="AI36" s="639" t="s">
        <v>362</v>
      </c>
      <c r="AJ36" s="13">
        <v>20</v>
      </c>
      <c r="AL36" s="23"/>
      <c r="AM36" s="31"/>
      <c r="AN36" s="31"/>
      <c r="AO36" s="635">
        <f>Absences268101214[[#This Row],[debut]]</f>
        <v>0</v>
      </c>
      <c r="AP36" s="13"/>
      <c r="AQ36" s="13"/>
      <c r="AR36" s="13"/>
      <c r="AS36" s="13"/>
      <c r="AT36" s="13"/>
      <c r="AU36" s="1506"/>
      <c r="AV36" s="1506"/>
      <c r="AW36" s="1506"/>
      <c r="AX36" s="1506"/>
      <c r="AY36" s="1506"/>
      <c r="AZ36" s="1506"/>
      <c r="BA36" s="1506"/>
      <c r="BB36" s="1506"/>
      <c r="BC36" s="1506"/>
      <c r="BD36" s="1506"/>
      <c r="BE36" s="1506"/>
      <c r="BF36" s="1506"/>
      <c r="BH36" s="290"/>
      <c r="BI36" s="354" t="s">
        <v>523</v>
      </c>
      <c r="BJ36" s="315" t="s">
        <v>524</v>
      </c>
      <c r="BK36" s="294"/>
      <c r="BL36" s="294"/>
      <c r="BM36" s="294"/>
      <c r="BN36" s="294"/>
      <c r="BO36" s="316"/>
      <c r="BP36" s="346" t="s">
        <v>675</v>
      </c>
      <c r="BQ36" s="340">
        <v>18</v>
      </c>
      <c r="BR36" s="335">
        <v>0</v>
      </c>
      <c r="BS36" s="336">
        <v>0</v>
      </c>
      <c r="BT36" s="337">
        <v>0</v>
      </c>
      <c r="BU36" s="338">
        <f t="shared" si="18"/>
        <v>0</v>
      </c>
      <c r="BV36" s="294"/>
      <c r="BW36" s="313"/>
    </row>
    <row r="37" spans="1:83" ht="16.5" customHeight="1" thickBot="1" x14ac:dyDescent="0.3">
      <c r="A37" s="678"/>
      <c r="B37" s="40">
        <f>COUNTA(C37:AG37)</f>
        <v>0</v>
      </c>
      <c r="C37" s="41"/>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677"/>
      <c r="AI37" s="678"/>
      <c r="AJ37" s="13">
        <v>21</v>
      </c>
      <c r="AL37" s="23"/>
      <c r="AM37" s="31"/>
      <c r="AN37" s="31"/>
      <c r="AO37" s="635">
        <f>Absences268101214[[#This Row],[debut]]</f>
        <v>0</v>
      </c>
      <c r="AP37" s="13"/>
      <c r="AQ37" s="13"/>
      <c r="AR37" s="13"/>
      <c r="AS37" s="13"/>
      <c r="AT37" s="13"/>
      <c r="AU37" s="94" t="s">
        <v>92</v>
      </c>
      <c r="AV37" s="50">
        <v>0.33333333333333331</v>
      </c>
      <c r="AW37" s="50">
        <v>0.5</v>
      </c>
      <c r="AX37" s="51">
        <v>0</v>
      </c>
      <c r="AY37" s="52">
        <f>IF(AW37-AV37=0,0,(AW37-AV37)-(AX37*TIMEVALUE("00:30")))</f>
        <v>0.16666666666666669</v>
      </c>
      <c r="AZ37" s="53" t="s">
        <v>71</v>
      </c>
      <c r="BA37" s="54"/>
      <c r="BB37" s="55"/>
      <c r="BC37" s="56"/>
      <c r="BD37" s="56"/>
      <c r="BE37" s="56"/>
      <c r="BF37" s="56"/>
      <c r="BH37" s="290"/>
      <c r="BI37" s="354" t="s">
        <v>525</v>
      </c>
      <c r="BJ37" s="315" t="s">
        <v>526</v>
      </c>
      <c r="BK37" s="294"/>
      <c r="BL37" s="294"/>
      <c r="BM37" s="294"/>
      <c r="BN37" s="294"/>
      <c r="BO37" s="316"/>
      <c r="BP37" s="333"/>
      <c r="BQ37" s="340">
        <v>19</v>
      </c>
      <c r="BR37" s="335">
        <v>0</v>
      </c>
      <c r="BS37" s="336">
        <v>0</v>
      </c>
      <c r="BT37" s="337">
        <v>0</v>
      </c>
      <c r="BU37" s="338">
        <f t="shared" si="18"/>
        <v>0</v>
      </c>
      <c r="BV37" s="294"/>
      <c r="BW37" s="313"/>
    </row>
    <row r="38" spans="1:83" ht="14.25" customHeight="1" x14ac:dyDescent="0.25">
      <c r="A38" s="651"/>
      <c r="B38" s="20">
        <f>DATE($C$2,MONTH(1&amp;"/"&amp;C39),1)</f>
        <v>43983</v>
      </c>
      <c r="C38" s="14">
        <f>B38</f>
        <v>43983</v>
      </c>
      <c r="D38" s="14">
        <f>IFERROR(IF(C38+1&gt;$B$39,"",C38+1),"")</f>
        <v>43984</v>
      </c>
      <c r="E38" s="14">
        <f t="shared" ref="E38:AG38" si="23">IFERROR(IF(D38+1&gt;$B$39,"",D38+1),"")</f>
        <v>43985</v>
      </c>
      <c r="F38" s="14">
        <f t="shared" si="23"/>
        <v>43986</v>
      </c>
      <c r="G38" s="14">
        <f t="shared" si="23"/>
        <v>43987</v>
      </c>
      <c r="H38" s="14">
        <f t="shared" si="23"/>
        <v>43988</v>
      </c>
      <c r="I38" s="14">
        <f t="shared" si="23"/>
        <v>43989</v>
      </c>
      <c r="J38" s="14">
        <f t="shared" si="23"/>
        <v>43990</v>
      </c>
      <c r="K38" s="14">
        <f t="shared" si="23"/>
        <v>43991</v>
      </c>
      <c r="L38" s="14">
        <f t="shared" si="23"/>
        <v>43992</v>
      </c>
      <c r="M38" s="14">
        <f t="shared" si="23"/>
        <v>43993</v>
      </c>
      <c r="N38" s="14">
        <f t="shared" si="23"/>
        <v>43994</v>
      </c>
      <c r="O38" s="14">
        <f t="shared" si="23"/>
        <v>43995</v>
      </c>
      <c r="P38" s="14">
        <f t="shared" si="23"/>
        <v>43996</v>
      </c>
      <c r="Q38" s="14">
        <f t="shared" si="23"/>
        <v>43997</v>
      </c>
      <c r="R38" s="14">
        <f t="shared" si="23"/>
        <v>43998</v>
      </c>
      <c r="S38" s="14">
        <f t="shared" si="23"/>
        <v>43999</v>
      </c>
      <c r="T38" s="14">
        <f t="shared" si="23"/>
        <v>44000</v>
      </c>
      <c r="U38" s="14">
        <f t="shared" si="23"/>
        <v>44001</v>
      </c>
      <c r="V38" s="14">
        <f t="shared" si="23"/>
        <v>44002</v>
      </c>
      <c r="W38" s="14">
        <f t="shared" si="23"/>
        <v>44003</v>
      </c>
      <c r="X38" s="14">
        <f t="shared" si="23"/>
        <v>44004</v>
      </c>
      <c r="Y38" s="14">
        <f t="shared" si="23"/>
        <v>44005</v>
      </c>
      <c r="Z38" s="14">
        <f t="shared" si="23"/>
        <v>44006</v>
      </c>
      <c r="AA38" s="14">
        <f t="shared" si="23"/>
        <v>44007</v>
      </c>
      <c r="AB38" s="14">
        <f t="shared" si="23"/>
        <v>44008</v>
      </c>
      <c r="AC38" s="14">
        <f t="shared" si="23"/>
        <v>44009</v>
      </c>
      <c r="AD38" s="14">
        <f t="shared" si="23"/>
        <v>44010</v>
      </c>
      <c r="AE38" s="14">
        <f t="shared" si="23"/>
        <v>44011</v>
      </c>
      <c r="AF38" s="14">
        <f t="shared" si="23"/>
        <v>44012</v>
      </c>
      <c r="AG38" s="14" t="str">
        <f t="shared" si="23"/>
        <v/>
      </c>
      <c r="AH38" s="647">
        <f>COUNTIF(C42:AG42,AI38)</f>
        <v>0</v>
      </c>
      <c r="AI38" s="640" t="s">
        <v>8</v>
      </c>
      <c r="AJ38" s="13">
        <v>22</v>
      </c>
      <c r="AL38" s="23"/>
      <c r="AM38" s="31"/>
      <c r="AN38" s="31"/>
      <c r="AO38" s="635">
        <f>Absences268101214[[#This Row],[debut]]</f>
        <v>0</v>
      </c>
      <c r="AP38" s="13"/>
      <c r="AQ38" s="13"/>
      <c r="AR38" s="45"/>
      <c r="AS38" s="45"/>
      <c r="AT38" s="45"/>
      <c r="AU38" s="70"/>
      <c r="AV38" s="57"/>
      <c r="AW38" s="57"/>
      <c r="AX38" s="57"/>
      <c r="AY38" s="54"/>
      <c r="AZ38" s="54"/>
      <c r="BA38" s="54"/>
      <c r="BB38" s="55"/>
      <c r="BC38" s="56"/>
      <c r="BD38" s="56"/>
      <c r="BE38" s="56"/>
      <c r="BF38" s="56"/>
      <c r="BH38" s="290"/>
      <c r="BI38" s="353" t="s">
        <v>528</v>
      </c>
      <c r="BJ38" s="315" t="s">
        <v>529</v>
      </c>
      <c r="BK38" s="294"/>
      <c r="BL38" s="294"/>
      <c r="BM38" s="294"/>
      <c r="BN38" s="294"/>
      <c r="BO38" s="316"/>
      <c r="BP38" s="333" t="s">
        <v>676</v>
      </c>
      <c r="BQ38" s="340">
        <v>20</v>
      </c>
      <c r="BR38" s="335">
        <v>0.29166666666666669</v>
      </c>
      <c r="BS38" s="336">
        <v>0.5625</v>
      </c>
      <c r="BT38" s="337">
        <v>1</v>
      </c>
      <c r="BU38" s="338">
        <f t="shared" si="18"/>
        <v>0.24999999999999997</v>
      </c>
      <c r="BV38" s="294"/>
      <c r="BW38" s="313"/>
    </row>
    <row r="39" spans="1:83" ht="21.75" thickBot="1" x14ac:dyDescent="0.3">
      <c r="A39" s="652"/>
      <c r="B39" s="21">
        <f>EOMONTH(B38,0)</f>
        <v>44012</v>
      </c>
      <c r="C39" s="1476" t="s">
        <v>47</v>
      </c>
      <c r="D39" s="1477"/>
      <c r="E39" s="1477"/>
      <c r="F39" s="1477"/>
      <c r="G39" s="1477"/>
      <c r="H39" s="1477"/>
      <c r="I39" s="1477"/>
      <c r="J39" s="1477"/>
      <c r="K39" s="1477"/>
      <c r="L39" s="1477"/>
      <c r="M39" s="1477"/>
      <c r="N39" s="1477"/>
      <c r="O39" s="1477"/>
      <c r="P39" s="1477"/>
      <c r="Q39" s="1477"/>
      <c r="R39" s="1477"/>
      <c r="S39" s="1477"/>
      <c r="T39" s="1477"/>
      <c r="U39" s="1477"/>
      <c r="V39" s="1477"/>
      <c r="W39" s="1477"/>
      <c r="X39" s="1477"/>
      <c r="Y39" s="1477"/>
      <c r="Z39" s="1477"/>
      <c r="AA39" s="1477"/>
      <c r="AB39" s="1477"/>
      <c r="AC39" s="1477"/>
      <c r="AD39" s="1477"/>
      <c r="AE39" s="1477"/>
      <c r="AF39" s="1477"/>
      <c r="AG39" s="1478"/>
      <c r="AH39" s="648">
        <f>COUNTIF(C42:AG42,AI39)</f>
        <v>0</v>
      </c>
      <c r="AI39" s="629" t="s">
        <v>360</v>
      </c>
      <c r="AJ39" s="13">
        <v>23</v>
      </c>
      <c r="AL39" s="23"/>
      <c r="AM39" s="31"/>
      <c r="AN39" s="31"/>
      <c r="AO39" s="635">
        <f>Absences268101214[[#This Row],[debut]]</f>
        <v>0</v>
      </c>
      <c r="AP39" s="13"/>
      <c r="AQ39" s="13"/>
      <c r="AR39" s="13"/>
      <c r="AS39" s="13"/>
      <c r="AT39" s="13"/>
      <c r="AU39" s="94" t="s">
        <v>93</v>
      </c>
      <c r="AV39" s="50">
        <v>0.29166666666666669</v>
      </c>
      <c r="AW39" s="50">
        <v>0.625</v>
      </c>
      <c r="AX39" s="51">
        <v>1</v>
      </c>
      <c r="AY39" s="52">
        <f>IF(AW39-AV39=0,0,(AW39-AV39)-(AX39*TIMEVALUE("00:30")))</f>
        <v>0.3125</v>
      </c>
      <c r="AZ39" s="53" t="s">
        <v>129</v>
      </c>
      <c r="BA39" s="54"/>
      <c r="BB39" s="55"/>
      <c r="BC39" s="56"/>
      <c r="BD39" s="56"/>
      <c r="BE39" s="56"/>
      <c r="BF39" s="56"/>
      <c r="BH39" s="290"/>
      <c r="BI39" s="354" t="s">
        <v>530</v>
      </c>
      <c r="BJ39" s="315" t="s">
        <v>531</v>
      </c>
      <c r="BK39" s="294"/>
      <c r="BL39" s="294"/>
      <c r="BM39" s="294"/>
      <c r="BN39" s="294"/>
      <c r="BO39" s="316"/>
      <c r="BP39" s="347"/>
      <c r="BQ39" s="340">
        <v>21</v>
      </c>
      <c r="BR39" s="335">
        <v>0</v>
      </c>
      <c r="BS39" s="336">
        <v>0</v>
      </c>
      <c r="BT39" s="337">
        <v>0</v>
      </c>
      <c r="BU39" s="338">
        <f t="shared" si="18"/>
        <v>0</v>
      </c>
      <c r="BV39" s="294"/>
      <c r="BW39" s="313"/>
    </row>
    <row r="40" spans="1:83" ht="21" x14ac:dyDescent="0.25">
      <c r="A40" s="654" t="s">
        <v>662</v>
      </c>
      <c r="B40" s="657">
        <f>COUNTIF(C42:AG42,A40)</f>
        <v>0</v>
      </c>
      <c r="C40" s="6">
        <f t="shared" ref="C40:AG40" si="24">IFERROR(DAY(C38),"")</f>
        <v>1</v>
      </c>
      <c r="D40" s="3">
        <f t="shared" si="24"/>
        <v>2</v>
      </c>
      <c r="E40" s="3">
        <f t="shared" si="24"/>
        <v>3</v>
      </c>
      <c r="F40" s="3">
        <f t="shared" si="24"/>
        <v>4</v>
      </c>
      <c r="G40" s="3">
        <f t="shared" si="24"/>
        <v>5</v>
      </c>
      <c r="H40" s="3">
        <f t="shared" si="24"/>
        <v>6</v>
      </c>
      <c r="I40" s="3">
        <f t="shared" si="24"/>
        <v>7</v>
      </c>
      <c r="J40" s="3">
        <f t="shared" si="24"/>
        <v>8</v>
      </c>
      <c r="K40" s="3">
        <f t="shared" si="24"/>
        <v>9</v>
      </c>
      <c r="L40" s="3">
        <f t="shared" si="24"/>
        <v>10</v>
      </c>
      <c r="M40" s="3">
        <f t="shared" si="24"/>
        <v>11</v>
      </c>
      <c r="N40" s="3">
        <f t="shared" si="24"/>
        <v>12</v>
      </c>
      <c r="O40" s="3">
        <f t="shared" si="24"/>
        <v>13</v>
      </c>
      <c r="P40" s="3">
        <f t="shared" si="24"/>
        <v>14</v>
      </c>
      <c r="Q40" s="3">
        <f t="shared" si="24"/>
        <v>15</v>
      </c>
      <c r="R40" s="3">
        <f t="shared" si="24"/>
        <v>16</v>
      </c>
      <c r="S40" s="3">
        <f t="shared" si="24"/>
        <v>17</v>
      </c>
      <c r="T40" s="3">
        <f t="shared" si="24"/>
        <v>18</v>
      </c>
      <c r="U40" s="3">
        <f t="shared" si="24"/>
        <v>19</v>
      </c>
      <c r="V40" s="3">
        <f t="shared" si="24"/>
        <v>20</v>
      </c>
      <c r="W40" s="3">
        <f t="shared" si="24"/>
        <v>21</v>
      </c>
      <c r="X40" s="3">
        <f t="shared" si="24"/>
        <v>22</v>
      </c>
      <c r="Y40" s="3">
        <f t="shared" si="24"/>
        <v>23</v>
      </c>
      <c r="Z40" s="3">
        <f t="shared" si="24"/>
        <v>24</v>
      </c>
      <c r="AA40" s="3">
        <f t="shared" si="24"/>
        <v>25</v>
      </c>
      <c r="AB40" s="3">
        <f t="shared" si="24"/>
        <v>26</v>
      </c>
      <c r="AC40" s="3">
        <f t="shared" si="24"/>
        <v>27</v>
      </c>
      <c r="AD40" s="3">
        <f t="shared" si="24"/>
        <v>28</v>
      </c>
      <c r="AE40" s="3">
        <f t="shared" si="24"/>
        <v>29</v>
      </c>
      <c r="AF40" s="3">
        <f t="shared" si="24"/>
        <v>30</v>
      </c>
      <c r="AG40" s="7" t="str">
        <f t="shared" si="24"/>
        <v/>
      </c>
      <c r="AH40" s="648">
        <f>COUNTIF(C42:AG42,AI40)</f>
        <v>0</v>
      </c>
      <c r="AI40" s="10" t="s">
        <v>6</v>
      </c>
      <c r="AJ40" s="13">
        <v>24</v>
      </c>
      <c r="AL40" s="23"/>
      <c r="AM40" s="31"/>
      <c r="AN40" s="31"/>
      <c r="AO40" s="635">
        <f>Absences268101214[[#This Row],[debut]]</f>
        <v>0</v>
      </c>
      <c r="AP40" s="13"/>
      <c r="AQ40" s="13"/>
      <c r="AR40" s="13"/>
      <c r="AS40" s="13"/>
      <c r="AT40" s="13"/>
      <c r="AU40" s="70"/>
      <c r="AV40" s="57"/>
      <c r="AW40" s="57"/>
      <c r="AX40" s="57"/>
      <c r="AY40" s="54"/>
      <c r="AZ40" s="54"/>
      <c r="BA40" s="54"/>
      <c r="BB40" s="55"/>
      <c r="BC40" s="56"/>
      <c r="BD40" s="56"/>
      <c r="BE40" s="56"/>
      <c r="BF40" s="56"/>
      <c r="BH40" s="290"/>
      <c r="BI40" s="353" t="s">
        <v>532</v>
      </c>
      <c r="BJ40" s="315" t="s">
        <v>533</v>
      </c>
      <c r="BK40" s="294"/>
      <c r="BL40" s="294"/>
      <c r="BM40" s="294"/>
      <c r="BN40" s="294"/>
      <c r="BO40" s="316"/>
      <c r="BP40" s="333" t="s">
        <v>677</v>
      </c>
      <c r="BQ40" s="340">
        <v>22</v>
      </c>
      <c r="BR40" s="335">
        <v>0.60416666666666663</v>
      </c>
      <c r="BS40" s="336">
        <v>0.77083333333333337</v>
      </c>
      <c r="BT40" s="337">
        <v>0</v>
      </c>
      <c r="BU40" s="338">
        <f t="shared" si="18"/>
        <v>0.16666666666666674</v>
      </c>
      <c r="BV40" s="294"/>
      <c r="BW40" s="313"/>
    </row>
    <row r="41" spans="1:83" ht="16.5" customHeight="1" thickBot="1" x14ac:dyDescent="0.3">
      <c r="A41" s="655" t="s">
        <v>800</v>
      </c>
      <c r="B41" s="658">
        <f>COUNTIF(C42:AG42,A41)</f>
        <v>0</v>
      </c>
      <c r="C41" s="5">
        <f t="shared" ref="C41:AC41" si="25">IF(C38="","",WEEKDAY(C38,1))</f>
        <v>2</v>
      </c>
      <c r="D41" s="8">
        <f t="shared" si="25"/>
        <v>3</v>
      </c>
      <c r="E41" s="8">
        <f t="shared" si="25"/>
        <v>4</v>
      </c>
      <c r="F41" s="8">
        <f t="shared" si="25"/>
        <v>5</v>
      </c>
      <c r="G41" s="8">
        <f t="shared" si="25"/>
        <v>6</v>
      </c>
      <c r="H41" s="8">
        <f t="shared" si="25"/>
        <v>7</v>
      </c>
      <c r="I41" s="8">
        <f t="shared" si="25"/>
        <v>1</v>
      </c>
      <c r="J41" s="8">
        <f t="shared" si="25"/>
        <v>2</v>
      </c>
      <c r="K41" s="8">
        <f t="shared" si="25"/>
        <v>3</v>
      </c>
      <c r="L41" s="8">
        <f t="shared" si="25"/>
        <v>4</v>
      </c>
      <c r="M41" s="8">
        <f t="shared" si="25"/>
        <v>5</v>
      </c>
      <c r="N41" s="8">
        <f t="shared" si="25"/>
        <v>6</v>
      </c>
      <c r="O41" s="8">
        <f t="shared" si="25"/>
        <v>7</v>
      </c>
      <c r="P41" s="8">
        <f t="shared" si="25"/>
        <v>1</v>
      </c>
      <c r="Q41" s="8">
        <f t="shared" si="25"/>
        <v>2</v>
      </c>
      <c r="R41" s="8">
        <f t="shared" si="25"/>
        <v>3</v>
      </c>
      <c r="S41" s="8">
        <f t="shared" si="25"/>
        <v>4</v>
      </c>
      <c r="T41" s="8">
        <f t="shared" si="25"/>
        <v>5</v>
      </c>
      <c r="U41" s="8">
        <f t="shared" si="25"/>
        <v>6</v>
      </c>
      <c r="V41" s="8">
        <f t="shared" si="25"/>
        <v>7</v>
      </c>
      <c r="W41" s="8">
        <f t="shared" si="25"/>
        <v>1</v>
      </c>
      <c r="X41" s="8">
        <f t="shared" si="25"/>
        <v>2</v>
      </c>
      <c r="Y41" s="8">
        <f t="shared" si="25"/>
        <v>3</v>
      </c>
      <c r="Z41" s="8">
        <f t="shared" si="25"/>
        <v>4</v>
      </c>
      <c r="AA41" s="8">
        <f t="shared" si="25"/>
        <v>5</v>
      </c>
      <c r="AB41" s="8">
        <f t="shared" si="25"/>
        <v>6</v>
      </c>
      <c r="AC41" s="8">
        <f t="shared" si="25"/>
        <v>7</v>
      </c>
      <c r="AD41" s="8">
        <f>IF(AD38="","",WEEKDAY(AD38,1))</f>
        <v>1</v>
      </c>
      <c r="AE41" s="8">
        <f>IF(AE38="","",WEEKDAY(AE38,1))</f>
        <v>2</v>
      </c>
      <c r="AF41" s="8">
        <f t="shared" ref="AF41:AG41" si="26">IF(AF38="","",WEEKDAY(AF38,1))</f>
        <v>3</v>
      </c>
      <c r="AG41" s="9" t="str">
        <f t="shared" si="26"/>
        <v/>
      </c>
      <c r="AH41" s="648">
        <f>COUNTIF(C42:AG42,AI41)</f>
        <v>0</v>
      </c>
      <c r="AI41" s="633" t="s">
        <v>799</v>
      </c>
      <c r="AJ41" s="13">
        <v>25</v>
      </c>
      <c r="AL41" s="23"/>
      <c r="AM41" s="31"/>
      <c r="AN41" s="31"/>
      <c r="AO41" s="635">
        <f>Absences268101214[[#This Row],[debut]]</f>
        <v>0</v>
      </c>
      <c r="AP41" s="13"/>
      <c r="AQ41" s="13"/>
      <c r="AR41" s="13"/>
      <c r="AS41" s="13"/>
      <c r="AT41" s="13"/>
      <c r="AU41" s="94" t="s">
        <v>94</v>
      </c>
      <c r="AV41" s="50">
        <v>0.27083333333333331</v>
      </c>
      <c r="AW41" s="50">
        <v>0.60416666666666663</v>
      </c>
      <c r="AX41" s="51">
        <v>1</v>
      </c>
      <c r="AY41" s="52">
        <f>IF(AW41-AV41=0,0,(AW41-AV41)-(AX41*TIMEVALUE("00:30")))</f>
        <v>0.3125</v>
      </c>
      <c r="AZ41" s="53" t="s">
        <v>72</v>
      </c>
      <c r="BA41" s="54"/>
      <c r="BB41" s="55"/>
      <c r="BC41" s="56"/>
      <c r="BD41" s="56"/>
      <c r="BE41" s="56"/>
      <c r="BF41" s="56"/>
      <c r="BH41" s="290"/>
      <c r="BI41" s="353" t="s">
        <v>534</v>
      </c>
      <c r="BJ41" s="315" t="s">
        <v>535</v>
      </c>
      <c r="BK41" s="294"/>
      <c r="BL41" s="294"/>
      <c r="BM41" s="294"/>
      <c r="BN41" s="294"/>
      <c r="BO41" s="316"/>
      <c r="BP41" s="333" t="s">
        <v>678</v>
      </c>
      <c r="BQ41" s="341">
        <v>23</v>
      </c>
      <c r="BR41" s="342">
        <v>0.60416666666666663</v>
      </c>
      <c r="BS41" s="343">
        <v>0.64583333333333337</v>
      </c>
      <c r="BT41" s="344">
        <v>0</v>
      </c>
      <c r="BU41" s="345">
        <f t="shared" si="18"/>
        <v>4.1666666666666741E-2</v>
      </c>
      <c r="BV41" s="294"/>
      <c r="BW41" s="313"/>
    </row>
    <row r="42" spans="1:83" ht="16.5" customHeight="1" x14ac:dyDescent="0.25">
      <c r="A42" s="679" t="s">
        <v>7</v>
      </c>
      <c r="B42" s="658">
        <f>COUNTIF(C42:AG42,A42)</f>
        <v>0</v>
      </c>
      <c r="C42" s="6" t="str">
        <f t="array" ref="C42">IFERROR(INDEX($AK$17:$AN$116,MATCH(1,(C38&gt;=$AM$17:$AM$116)*($AN$17:$AN$116&gt;=C38)*($AK$17:$AK$116=$U$2),0),2),"")</f>
        <v/>
      </c>
      <c r="D42" s="3" t="str">
        <f t="array" ref="D42">IFERROR(INDEX($AK$17:$AN$116,MATCH(1,(D38&gt;=$AM$17:$AM$116)*($AN$17:$AN$116&gt;=D38)*($AK$17:$AK$116=$U$2),0),2),"")</f>
        <v/>
      </c>
      <c r="E42" s="3" t="str">
        <f t="array" ref="E42">IFERROR(INDEX($AK$17:$AN$116,MATCH(1,(E38&gt;=$AM$17:$AM$116)*($AN$17:$AN$116&gt;=E38)*($AK$17:$AK$116=$U$2),0),2),"")</f>
        <v/>
      </c>
      <c r="F42" s="3" t="str">
        <f t="array" ref="F42">IFERROR(INDEX($AK$17:$AN$116,MATCH(1,(F38&gt;=$AM$17:$AM$116)*($AN$17:$AN$116&gt;=F38)*($AK$17:$AK$116=$U$2),0),2),"")</f>
        <v/>
      </c>
      <c r="G42" s="3" t="str">
        <f t="array" ref="G42">IFERROR(INDEX($AK$17:$AN$116,MATCH(1,(G38&gt;=$AM$17:$AM$116)*($AN$17:$AN$116&gt;=G38)*($AK$17:$AK$116=$U$2),0),2),"")</f>
        <v/>
      </c>
      <c r="H42" s="3" t="str">
        <f t="array" ref="H42">IFERROR(INDEX($AK$17:$AN$116,MATCH(1,(H38&gt;=$AM$17:$AM$116)*($AN$17:$AN$116&gt;=H38)*($AK$17:$AK$116=$U$2),0),2),"")</f>
        <v/>
      </c>
      <c r="I42" s="3" t="str">
        <f t="array" ref="I42">IFERROR(INDEX($AK$17:$AN$116,MATCH(1,(I38&gt;=$AM$17:$AM$116)*($AN$17:$AN$116&gt;=I38)*($AK$17:$AK$116=$U$2),0),2),"")</f>
        <v/>
      </c>
      <c r="J42" s="3" t="str">
        <f t="array" ref="J42">IFERROR(INDEX($AK$17:$AN$116,MATCH(1,(J38&gt;=$AM$17:$AM$116)*($AN$17:$AN$116&gt;=J38)*($AK$17:$AK$116=$U$2),0),2),"")</f>
        <v/>
      </c>
      <c r="K42" s="3" t="str">
        <f t="array" ref="K42">IFERROR(INDEX($AK$17:$AN$116,MATCH(1,(K38&gt;=$AM$17:$AM$116)*($AN$17:$AN$116&gt;=K38)*($AK$17:$AK$116=$U$2),0),2),"")</f>
        <v/>
      </c>
      <c r="L42" s="3" t="str">
        <f t="array" ref="L42">IFERROR(INDEX($AK$17:$AN$116,MATCH(1,(L38&gt;=$AM$17:$AM$116)*($AN$17:$AN$116&gt;=L38)*($AK$17:$AK$116=$U$2),0),2),"")</f>
        <v/>
      </c>
      <c r="M42" s="3" t="str">
        <f t="array" ref="M42">IFERROR(INDEX($AK$17:$AN$116,MATCH(1,(M38&gt;=$AM$17:$AM$116)*($AN$17:$AN$116&gt;=M38)*($AK$17:$AK$116=$U$2),0),2),"")</f>
        <v/>
      </c>
      <c r="N42" s="3" t="str">
        <f t="array" ref="N42">IFERROR(INDEX($AK$17:$AN$116,MATCH(1,(N38&gt;=$AM$17:$AM$116)*($AN$17:$AN$116&gt;=N38)*($AK$17:$AK$116=$U$2),0),2),"")</f>
        <v/>
      </c>
      <c r="O42" s="3" t="str">
        <f t="array" ref="O42">IFERROR(INDEX($AK$17:$AN$116,MATCH(1,(O38&gt;=$AM$17:$AM$116)*($AN$17:$AN$116&gt;=O38)*($AK$17:$AK$116=$U$2),0),2),"")</f>
        <v/>
      </c>
      <c r="P42" s="3" t="str">
        <f t="array" ref="P42">IFERROR(INDEX($AK$17:$AN$116,MATCH(1,(P38&gt;=$AM$17:$AM$116)*($AN$17:$AN$116&gt;=P38)*($AK$17:$AK$116=$U$2),0),2),"")</f>
        <v/>
      </c>
      <c r="Q42" s="3" t="str">
        <f t="array" ref="Q42">IFERROR(INDEX($AK$17:$AN$116,MATCH(1,(Q38&gt;=$AM$17:$AM$116)*($AN$17:$AN$116&gt;=Q38)*($AK$17:$AK$116=$U$2),0),2),"")</f>
        <v/>
      </c>
      <c r="R42" s="3" t="str">
        <f t="array" ref="R42">IFERROR(INDEX($AK$17:$AN$116,MATCH(1,(R38&gt;=$AM$17:$AM$116)*($AN$17:$AN$116&gt;=R38)*($AK$17:$AK$116=$U$2),0),2),"")</f>
        <v/>
      </c>
      <c r="S42" s="3" t="str">
        <f t="array" ref="S42">IFERROR(INDEX($AK$17:$AN$116,MATCH(1,(S38&gt;=$AM$17:$AM$116)*($AN$17:$AN$116&gt;=S38)*($AK$17:$AK$116=$U$2),0),2),"")</f>
        <v/>
      </c>
      <c r="T42" s="3" t="str">
        <f t="array" ref="T42">IFERROR(INDEX($AK$17:$AN$116,MATCH(1,(T38&gt;=$AM$17:$AM$116)*($AN$17:$AN$116&gt;=T38)*($AK$17:$AK$116=$U$2),0),2),"")</f>
        <v/>
      </c>
      <c r="U42" s="3" t="str">
        <f t="array" ref="U42">IFERROR(INDEX($AK$17:$AN$116,MATCH(1,(U38&gt;=$AM$17:$AM$116)*($AN$17:$AN$116&gt;=U38)*($AK$17:$AK$116=$U$2),0),2),"")</f>
        <v/>
      </c>
      <c r="V42" s="3" t="str">
        <f t="array" ref="V42">IFERROR(INDEX($AK$17:$AN$116,MATCH(1,(V38&gt;=$AM$17:$AM$116)*($AN$17:$AN$116&gt;=V38)*($AK$17:$AK$116=$U$2),0),2),"")</f>
        <v/>
      </c>
      <c r="W42" s="3" t="str">
        <f t="array" ref="W42">IFERROR(INDEX($AK$17:$AN$116,MATCH(1,(W38&gt;=$AM$17:$AM$116)*($AN$17:$AN$116&gt;=W38)*($AK$17:$AK$116=$U$2),0),2),"")</f>
        <v/>
      </c>
      <c r="X42" s="3" t="str">
        <f t="array" ref="X42">IFERROR(INDEX($AK$17:$AN$116,MATCH(1,(X38&gt;=$AM$17:$AM$116)*($AN$17:$AN$116&gt;=X38)*($AK$17:$AK$116=$U$2),0),2),"")</f>
        <v/>
      </c>
      <c r="Y42" s="3" t="str">
        <f t="array" ref="Y42">IFERROR(INDEX($AK$17:$AN$116,MATCH(1,(Y38&gt;=$AM$17:$AM$116)*($AN$17:$AN$116&gt;=Y38)*($AK$17:$AK$116=$U$2),0),2),"")</f>
        <v/>
      </c>
      <c r="Z42" s="3" t="str">
        <f t="array" ref="Z42">IFERROR(INDEX($AK$17:$AN$116,MATCH(1,(Z38&gt;=$AM$17:$AM$116)*($AN$17:$AN$116&gt;=Z38)*($AK$17:$AK$116=$U$2),0),2),"")</f>
        <v/>
      </c>
      <c r="AA42" s="3" t="str">
        <f t="array" ref="AA42">IFERROR(INDEX($AK$17:$AN$116,MATCH(1,(AA38&gt;=$AM$17:$AM$116)*($AN$17:$AN$116&gt;=AA38)*($AK$17:$AK$116=$U$2),0),2),"")</f>
        <v/>
      </c>
      <c r="AB42" s="3" t="str">
        <f t="array" ref="AB42">IFERROR(INDEX($AK$17:$AN$116,MATCH(1,(AB38&gt;=$AM$17:$AM$116)*($AN$17:$AN$116&gt;=AB38)*($AK$17:$AK$116=$U$2),0),2),"")</f>
        <v/>
      </c>
      <c r="AC42" s="3" t="str">
        <f t="array" ref="AC42">IFERROR(INDEX($AK$17:$AN$116,MATCH(1,(AC38&gt;=$AM$17:$AM$116)*($AN$17:$AN$116&gt;=AC38)*($AK$17:$AK$116=$U$2),0),2),"")</f>
        <v/>
      </c>
      <c r="AD42" s="3" t="str">
        <f t="array" ref="AD42">IFERROR(INDEX($AK$17:$AN$116,MATCH(1,(AD38&gt;=$AM$17:$AM$116)*($AN$17:$AN$116&gt;=AD38)*($AK$17:$AK$116=$U$2),0),2),"")</f>
        <v/>
      </c>
      <c r="AE42" s="3" t="str">
        <f t="array" ref="AE42">IFERROR(INDEX($AK$17:$AN$116,MATCH(1,(AE38&gt;=$AM$17:$AM$116)*($AN$17:$AN$116&gt;=AE38)*($AK$17:$AK$116=$U$2),0),2),"")</f>
        <v/>
      </c>
      <c r="AF42" s="3" t="str">
        <f t="array" ref="AF42">IFERROR(INDEX($AK$17:$AN$116,MATCH(1,(AF38&gt;=$AM$17:$AM$116)*($AN$17:$AN$116&gt;=AF38)*($AK$17:$AK$116=$U$2),0),2),"")</f>
        <v/>
      </c>
      <c r="AG42" s="7" t="str">
        <f t="array" ref="AG42">IFERROR(INDEX($AK$17:$AN$116,MATCH(1,(AG38&gt;=$AM$17:$AM$116)*($AN$17:$AN$116&gt;=AG38)*($AK$17:$AK$116=$U$2),0),2),"")</f>
        <v/>
      </c>
      <c r="AH42" s="648">
        <f>COUNTIF(C42:AG42,AI42)</f>
        <v>0</v>
      </c>
      <c r="AI42" s="639" t="s">
        <v>362</v>
      </c>
      <c r="AJ42" s="13">
        <v>26</v>
      </c>
      <c r="AL42" s="23"/>
      <c r="AM42" s="31"/>
      <c r="AN42" s="31"/>
      <c r="AO42" s="635">
        <f>Absences268101214[[#This Row],[debut]]</f>
        <v>0</v>
      </c>
      <c r="AP42" s="13"/>
      <c r="AQ42" s="13"/>
      <c r="AR42" s="13"/>
      <c r="AS42" s="13"/>
      <c r="AT42" s="13"/>
      <c r="AU42" s="70"/>
      <c r="AV42" s="57"/>
      <c r="AW42" s="57"/>
      <c r="AX42" s="57"/>
      <c r="AY42" s="54"/>
      <c r="AZ42" s="54"/>
      <c r="BA42" s="54"/>
      <c r="BB42" s="55"/>
      <c r="BC42" s="56"/>
      <c r="BD42" s="56"/>
      <c r="BE42" s="56"/>
      <c r="BF42" s="56"/>
      <c r="BH42" s="290"/>
      <c r="BI42" s="354" t="s">
        <v>536</v>
      </c>
      <c r="BJ42" s="315" t="s">
        <v>537</v>
      </c>
      <c r="BK42" s="294"/>
      <c r="BL42" s="294"/>
      <c r="BM42" s="294"/>
      <c r="BN42" s="294"/>
      <c r="BO42" s="316"/>
      <c r="BP42" s="346" t="s">
        <v>679</v>
      </c>
      <c r="BQ42" s="340">
        <v>24</v>
      </c>
      <c r="BR42" s="335">
        <v>0</v>
      </c>
      <c r="BS42" s="336">
        <v>0</v>
      </c>
      <c r="BT42" s="337">
        <v>0</v>
      </c>
      <c r="BU42" s="338">
        <f t="shared" si="18"/>
        <v>0</v>
      </c>
      <c r="BV42" s="294"/>
      <c r="BW42" s="313"/>
    </row>
    <row r="43" spans="1:83" ht="16.5" customHeight="1" thickBot="1" x14ac:dyDescent="0.3">
      <c r="A43" s="678"/>
      <c r="B43" s="40">
        <f>COUNTA(C43:AG43)</f>
        <v>0</v>
      </c>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677"/>
      <c r="AI43" s="678"/>
      <c r="AJ43" s="13">
        <v>27</v>
      </c>
      <c r="AK43" s="1"/>
      <c r="AL43" s="22"/>
      <c r="AM43" s="33"/>
      <c r="AN43" s="33"/>
      <c r="AO43" s="635">
        <f>Absences268101214[[#This Row],[debut]]</f>
        <v>0</v>
      </c>
      <c r="AP43" s="13"/>
      <c r="AQ43" s="13"/>
      <c r="AR43" s="13"/>
      <c r="AS43" s="13"/>
      <c r="AT43" s="13"/>
      <c r="AU43" s="94" t="s">
        <v>95</v>
      </c>
      <c r="AV43" s="50">
        <v>0.27083333333333331</v>
      </c>
      <c r="AW43" s="50">
        <v>0.60416666666666663</v>
      </c>
      <c r="AX43" s="51">
        <v>1</v>
      </c>
      <c r="AY43" s="52">
        <f>IF(AW43-AV43=0,0,(AW43-AV43)-(AX43*TIMEVALUE("00:30")))</f>
        <v>0.3125</v>
      </c>
      <c r="AZ43" s="53" t="s">
        <v>73</v>
      </c>
      <c r="BA43" s="54"/>
      <c r="BB43" s="55"/>
      <c r="BC43" s="56"/>
      <c r="BD43" s="56"/>
      <c r="BE43" s="56"/>
      <c r="BF43" s="56"/>
      <c r="BH43" s="290"/>
      <c r="BI43" s="294"/>
      <c r="BJ43" s="294"/>
      <c r="BK43" s="294"/>
      <c r="BL43" s="294"/>
      <c r="BM43" s="294"/>
      <c r="BN43" s="294"/>
      <c r="BO43" s="294"/>
      <c r="BP43" s="294"/>
      <c r="BQ43" s="294"/>
      <c r="BR43" s="294"/>
      <c r="BS43" s="294"/>
      <c r="BT43" s="294"/>
      <c r="BU43" s="294"/>
      <c r="BV43" s="294"/>
      <c r="BW43" s="313"/>
    </row>
    <row r="44" spans="1:83" ht="14.25" customHeight="1" x14ac:dyDescent="0.25">
      <c r="A44" s="651"/>
      <c r="B44" s="20">
        <f>DATE($C$2,MONTH(1&amp;"/"&amp;C45),1)</f>
        <v>44013</v>
      </c>
      <c r="C44" s="14">
        <f>B44</f>
        <v>44013</v>
      </c>
      <c r="D44" s="14">
        <f>IFERROR(IF(C44+1&gt;$B$45,"",C44+1),"")</f>
        <v>44014</v>
      </c>
      <c r="E44" s="14">
        <f t="shared" ref="E44:AG44" si="27">IFERROR(IF(D44+1&gt;$B$45,"",D44+1),"")</f>
        <v>44015</v>
      </c>
      <c r="F44" s="14">
        <f t="shared" si="27"/>
        <v>44016</v>
      </c>
      <c r="G44" s="14">
        <f t="shared" si="27"/>
        <v>44017</v>
      </c>
      <c r="H44" s="14">
        <f t="shared" si="27"/>
        <v>44018</v>
      </c>
      <c r="I44" s="14">
        <f t="shared" si="27"/>
        <v>44019</v>
      </c>
      <c r="J44" s="14">
        <f t="shared" si="27"/>
        <v>44020</v>
      </c>
      <c r="K44" s="14">
        <f t="shared" si="27"/>
        <v>44021</v>
      </c>
      <c r="L44" s="14">
        <f t="shared" si="27"/>
        <v>44022</v>
      </c>
      <c r="M44" s="14">
        <f t="shared" si="27"/>
        <v>44023</v>
      </c>
      <c r="N44" s="14">
        <f t="shared" si="27"/>
        <v>44024</v>
      </c>
      <c r="O44" s="14">
        <f t="shared" si="27"/>
        <v>44025</v>
      </c>
      <c r="P44" s="14">
        <f t="shared" si="27"/>
        <v>44026</v>
      </c>
      <c r="Q44" s="14">
        <f t="shared" si="27"/>
        <v>44027</v>
      </c>
      <c r="R44" s="14">
        <f t="shared" si="27"/>
        <v>44028</v>
      </c>
      <c r="S44" s="14">
        <f t="shared" si="27"/>
        <v>44029</v>
      </c>
      <c r="T44" s="14">
        <f t="shared" si="27"/>
        <v>44030</v>
      </c>
      <c r="U44" s="14">
        <f t="shared" si="27"/>
        <v>44031</v>
      </c>
      <c r="V44" s="14">
        <f t="shared" si="27"/>
        <v>44032</v>
      </c>
      <c r="W44" s="14">
        <f t="shared" si="27"/>
        <v>44033</v>
      </c>
      <c r="X44" s="14">
        <f t="shared" si="27"/>
        <v>44034</v>
      </c>
      <c r="Y44" s="14">
        <f t="shared" si="27"/>
        <v>44035</v>
      </c>
      <c r="Z44" s="14">
        <f t="shared" si="27"/>
        <v>44036</v>
      </c>
      <c r="AA44" s="14">
        <f t="shared" si="27"/>
        <v>44037</v>
      </c>
      <c r="AB44" s="14">
        <f t="shared" si="27"/>
        <v>44038</v>
      </c>
      <c r="AC44" s="14">
        <f t="shared" si="27"/>
        <v>44039</v>
      </c>
      <c r="AD44" s="14">
        <f t="shared" si="27"/>
        <v>44040</v>
      </c>
      <c r="AE44" s="14">
        <f t="shared" si="27"/>
        <v>44041</v>
      </c>
      <c r="AF44" s="14">
        <f t="shared" si="27"/>
        <v>44042</v>
      </c>
      <c r="AG44" s="14">
        <f t="shared" si="27"/>
        <v>44043</v>
      </c>
      <c r="AH44" s="647">
        <f>COUNTIF(C48:AG48,AI44)</f>
        <v>0</v>
      </c>
      <c r="AI44" s="640" t="s">
        <v>8</v>
      </c>
      <c r="AJ44" s="13">
        <v>28</v>
      </c>
      <c r="AL44" s="23"/>
      <c r="AM44" s="31"/>
      <c r="AN44" s="31"/>
      <c r="AO44" s="635">
        <f>Absences268101214[[#This Row],[debut]]</f>
        <v>0</v>
      </c>
      <c r="AP44" s="13"/>
      <c r="AQ44" s="13"/>
      <c r="AR44" s="45"/>
      <c r="AS44" s="45"/>
      <c r="AT44" s="45"/>
      <c r="AU44" s="70"/>
      <c r="AV44" s="57"/>
      <c r="AW44" s="57"/>
      <c r="AX44" s="57"/>
      <c r="AY44" s="54"/>
      <c r="AZ44" s="54"/>
      <c r="BA44" s="54"/>
      <c r="BB44" s="55"/>
      <c r="BC44" s="56"/>
      <c r="BD44" s="56"/>
      <c r="BE44" s="56"/>
      <c r="BF44" s="56"/>
      <c r="BH44" s="290"/>
      <c r="BI44" s="294"/>
      <c r="BJ44" s="294"/>
      <c r="BK44" s="294"/>
      <c r="BL44" s="294"/>
      <c r="BM44" s="294"/>
      <c r="BN44" s="294"/>
      <c r="BO44" s="294"/>
      <c r="BP44" s="294"/>
      <c r="BQ44" s="294"/>
      <c r="BR44" s="294"/>
      <c r="BS44" s="294"/>
      <c r="BT44" s="294"/>
      <c r="BU44" s="294"/>
      <c r="BV44" s="294"/>
      <c r="BW44" s="313"/>
    </row>
    <row r="45" spans="1:83" ht="19.5" thickBot="1" x14ac:dyDescent="0.3">
      <c r="A45" s="652"/>
      <c r="B45" s="21">
        <f>EOMONTH(B44,0)</f>
        <v>44043</v>
      </c>
      <c r="C45" s="1476" t="s">
        <v>43</v>
      </c>
      <c r="D45" s="1477"/>
      <c r="E45" s="1477"/>
      <c r="F45" s="1477"/>
      <c r="G45" s="1477"/>
      <c r="H45" s="1477"/>
      <c r="I45" s="1477"/>
      <c r="J45" s="1477"/>
      <c r="K45" s="1477"/>
      <c r="L45" s="1477"/>
      <c r="M45" s="1477"/>
      <c r="N45" s="1477"/>
      <c r="O45" s="1477"/>
      <c r="P45" s="1477"/>
      <c r="Q45" s="1477"/>
      <c r="R45" s="1477"/>
      <c r="S45" s="1477"/>
      <c r="T45" s="1477"/>
      <c r="U45" s="1477"/>
      <c r="V45" s="1477"/>
      <c r="W45" s="1477"/>
      <c r="X45" s="1477"/>
      <c r="Y45" s="1477"/>
      <c r="Z45" s="1477"/>
      <c r="AA45" s="1477"/>
      <c r="AB45" s="1477"/>
      <c r="AC45" s="1477"/>
      <c r="AD45" s="1477"/>
      <c r="AE45" s="1477"/>
      <c r="AF45" s="1477"/>
      <c r="AG45" s="1478"/>
      <c r="AH45" s="648">
        <f>COUNTIF(C48:AG48,AI45)</f>
        <v>0</v>
      </c>
      <c r="AI45" s="629" t="s">
        <v>360</v>
      </c>
      <c r="AJ45" s="13">
        <v>29</v>
      </c>
      <c r="AL45" s="23"/>
      <c r="AM45" s="31"/>
      <c r="AN45" s="31"/>
      <c r="AO45" s="635">
        <f>Absences268101214[[#This Row],[debut]]</f>
        <v>0</v>
      </c>
      <c r="AP45" s="13"/>
      <c r="AQ45" s="13"/>
      <c r="AR45" s="13"/>
      <c r="AS45" s="13"/>
      <c r="AT45" s="13"/>
      <c r="AU45" s="94" t="s">
        <v>96</v>
      </c>
      <c r="AV45" s="50">
        <v>0.27083333333333331</v>
      </c>
      <c r="AW45" s="50">
        <v>0.60416666666666663</v>
      </c>
      <c r="AX45" s="51">
        <v>1</v>
      </c>
      <c r="AY45" s="52">
        <f>IF(AW45-AV45=0,0,(AW45-AV45)-(AX45*TIMEVALUE("00:30")))</f>
        <v>0.3125</v>
      </c>
      <c r="AZ45" s="53" t="s">
        <v>130</v>
      </c>
      <c r="BA45" s="54"/>
      <c r="BB45" s="55"/>
      <c r="BC45" s="56"/>
      <c r="BD45" s="56"/>
      <c r="BE45" s="56"/>
      <c r="BF45" s="56"/>
      <c r="BH45" s="290"/>
      <c r="BI45" s="294"/>
      <c r="BJ45" s="294"/>
      <c r="BK45" s="294"/>
      <c r="BL45" s="294"/>
      <c r="BM45" s="294"/>
      <c r="BN45" s="294"/>
      <c r="BO45" s="294"/>
      <c r="BP45" s="294"/>
      <c r="BQ45" s="294"/>
      <c r="BR45" s="294"/>
      <c r="BS45" s="294"/>
      <c r="BT45" s="294"/>
      <c r="BU45" s="294"/>
      <c r="BV45" s="294"/>
      <c r="BW45" s="313"/>
    </row>
    <row r="46" spans="1:83" x14ac:dyDescent="0.25">
      <c r="A46" s="654" t="s">
        <v>662</v>
      </c>
      <c r="B46" s="657">
        <f>COUNTIF(C48:AG48,A46)</f>
        <v>0</v>
      </c>
      <c r="C46" s="6">
        <f t="shared" ref="C46:AG46" si="28">IFERROR(DAY(C44),"")</f>
        <v>1</v>
      </c>
      <c r="D46" s="3">
        <f t="shared" si="28"/>
        <v>2</v>
      </c>
      <c r="E46" s="3">
        <f t="shared" si="28"/>
        <v>3</v>
      </c>
      <c r="F46" s="3">
        <f t="shared" si="28"/>
        <v>4</v>
      </c>
      <c r="G46" s="3">
        <f t="shared" si="28"/>
        <v>5</v>
      </c>
      <c r="H46" s="3">
        <f t="shared" si="28"/>
        <v>6</v>
      </c>
      <c r="I46" s="3">
        <f t="shared" si="28"/>
        <v>7</v>
      </c>
      <c r="J46" s="3">
        <f t="shared" si="28"/>
        <v>8</v>
      </c>
      <c r="K46" s="3">
        <f t="shared" si="28"/>
        <v>9</v>
      </c>
      <c r="L46" s="3">
        <f t="shared" si="28"/>
        <v>10</v>
      </c>
      <c r="M46" s="3">
        <f t="shared" si="28"/>
        <v>11</v>
      </c>
      <c r="N46" s="3">
        <f t="shared" si="28"/>
        <v>12</v>
      </c>
      <c r="O46" s="3">
        <f t="shared" si="28"/>
        <v>13</v>
      </c>
      <c r="P46" s="3">
        <f t="shared" si="28"/>
        <v>14</v>
      </c>
      <c r="Q46" s="3">
        <f t="shared" si="28"/>
        <v>15</v>
      </c>
      <c r="R46" s="3">
        <f t="shared" si="28"/>
        <v>16</v>
      </c>
      <c r="S46" s="3">
        <f t="shared" si="28"/>
        <v>17</v>
      </c>
      <c r="T46" s="3">
        <f t="shared" si="28"/>
        <v>18</v>
      </c>
      <c r="U46" s="3">
        <f t="shared" si="28"/>
        <v>19</v>
      </c>
      <c r="V46" s="3">
        <f t="shared" si="28"/>
        <v>20</v>
      </c>
      <c r="W46" s="3">
        <f t="shared" si="28"/>
        <v>21</v>
      </c>
      <c r="X46" s="3">
        <f t="shared" si="28"/>
        <v>22</v>
      </c>
      <c r="Y46" s="3">
        <f t="shared" si="28"/>
        <v>23</v>
      </c>
      <c r="Z46" s="3">
        <f t="shared" si="28"/>
        <v>24</v>
      </c>
      <c r="AA46" s="3">
        <f t="shared" si="28"/>
        <v>25</v>
      </c>
      <c r="AB46" s="3">
        <f t="shared" si="28"/>
        <v>26</v>
      </c>
      <c r="AC46" s="3">
        <f t="shared" si="28"/>
        <v>27</v>
      </c>
      <c r="AD46" s="3">
        <f t="shared" si="28"/>
        <v>28</v>
      </c>
      <c r="AE46" s="3">
        <f t="shared" si="28"/>
        <v>29</v>
      </c>
      <c r="AF46" s="3">
        <f t="shared" si="28"/>
        <v>30</v>
      </c>
      <c r="AG46" s="7">
        <f t="shared" si="28"/>
        <v>31</v>
      </c>
      <c r="AH46" s="648">
        <f>COUNTIF(C48:AG48,AI46)</f>
        <v>0</v>
      </c>
      <c r="AI46" s="10" t="s">
        <v>6</v>
      </c>
      <c r="AJ46" s="13">
        <v>30</v>
      </c>
      <c r="AL46" s="23"/>
      <c r="AM46" s="31"/>
      <c r="AN46" s="31"/>
      <c r="AO46" s="635">
        <f>Absences268101214[[#This Row],[debut]]</f>
        <v>0</v>
      </c>
      <c r="AP46" s="13"/>
      <c r="AQ46" s="13"/>
      <c r="AR46" s="13"/>
      <c r="AS46" s="13"/>
      <c r="AT46" s="13"/>
      <c r="AU46" s="70"/>
      <c r="AV46" s="57"/>
      <c r="AW46" s="57"/>
      <c r="AX46" s="57"/>
      <c r="AY46" s="54"/>
      <c r="AZ46" s="54"/>
      <c r="BA46" s="54"/>
      <c r="BB46" s="55"/>
      <c r="BC46" s="56"/>
      <c r="BD46" s="56"/>
      <c r="BE46" s="56"/>
      <c r="BF46" s="56"/>
      <c r="BH46" s="290"/>
      <c r="BI46" s="294"/>
      <c r="BJ46" s="294"/>
      <c r="BK46" s="294"/>
      <c r="BL46" s="294"/>
      <c r="BM46" s="294"/>
      <c r="BN46" s="294"/>
      <c r="BO46" s="294"/>
      <c r="BP46" s="294"/>
      <c r="BQ46" s="294"/>
      <c r="BR46" s="294"/>
      <c r="BS46" s="294"/>
      <c r="BT46" s="294"/>
      <c r="BU46" s="294"/>
      <c r="BV46" s="294"/>
      <c r="BW46" s="313"/>
    </row>
    <row r="47" spans="1:83" ht="16.5" customHeight="1" thickBot="1" x14ac:dyDescent="0.3">
      <c r="A47" s="655" t="s">
        <v>800</v>
      </c>
      <c r="B47" s="658">
        <f>COUNTIF(C48:AG48,A47)</f>
        <v>0</v>
      </c>
      <c r="C47" s="5">
        <f t="shared" ref="C47:AC47" si="29">IF(C44="","",WEEKDAY(C44,1))</f>
        <v>4</v>
      </c>
      <c r="D47" s="8">
        <f t="shared" si="29"/>
        <v>5</v>
      </c>
      <c r="E47" s="8">
        <f t="shared" si="29"/>
        <v>6</v>
      </c>
      <c r="F47" s="8">
        <f t="shared" si="29"/>
        <v>7</v>
      </c>
      <c r="G47" s="8">
        <f t="shared" si="29"/>
        <v>1</v>
      </c>
      <c r="H47" s="8">
        <f t="shared" si="29"/>
        <v>2</v>
      </c>
      <c r="I47" s="8">
        <f t="shared" si="29"/>
        <v>3</v>
      </c>
      <c r="J47" s="8">
        <f t="shared" si="29"/>
        <v>4</v>
      </c>
      <c r="K47" s="8">
        <f t="shared" si="29"/>
        <v>5</v>
      </c>
      <c r="L47" s="8">
        <f t="shared" si="29"/>
        <v>6</v>
      </c>
      <c r="M47" s="8">
        <f t="shared" si="29"/>
        <v>7</v>
      </c>
      <c r="N47" s="8">
        <f t="shared" si="29"/>
        <v>1</v>
      </c>
      <c r="O47" s="8">
        <f t="shared" si="29"/>
        <v>2</v>
      </c>
      <c r="P47" s="8">
        <f t="shared" si="29"/>
        <v>3</v>
      </c>
      <c r="Q47" s="8">
        <f t="shared" si="29"/>
        <v>4</v>
      </c>
      <c r="R47" s="8">
        <f t="shared" si="29"/>
        <v>5</v>
      </c>
      <c r="S47" s="8">
        <f t="shared" si="29"/>
        <v>6</v>
      </c>
      <c r="T47" s="8">
        <f t="shared" si="29"/>
        <v>7</v>
      </c>
      <c r="U47" s="8">
        <f t="shared" si="29"/>
        <v>1</v>
      </c>
      <c r="V47" s="8">
        <f t="shared" si="29"/>
        <v>2</v>
      </c>
      <c r="W47" s="8">
        <f t="shared" si="29"/>
        <v>3</v>
      </c>
      <c r="X47" s="8">
        <f t="shared" si="29"/>
        <v>4</v>
      </c>
      <c r="Y47" s="8">
        <f t="shared" si="29"/>
        <v>5</v>
      </c>
      <c r="Z47" s="8">
        <f t="shared" si="29"/>
        <v>6</v>
      </c>
      <c r="AA47" s="8">
        <f t="shared" si="29"/>
        <v>7</v>
      </c>
      <c r="AB47" s="8">
        <f t="shared" si="29"/>
        <v>1</v>
      </c>
      <c r="AC47" s="8">
        <f t="shared" si="29"/>
        <v>2</v>
      </c>
      <c r="AD47" s="8">
        <f>IF(AD44="","",WEEKDAY(AD44,1))</f>
        <v>3</v>
      </c>
      <c r="AE47" s="8">
        <f>IF(AE44="","",WEEKDAY(AE44,1))</f>
        <v>4</v>
      </c>
      <c r="AF47" s="8">
        <f t="shared" ref="AF47:AG47" si="30">IF(AF44="","",WEEKDAY(AF44,1))</f>
        <v>5</v>
      </c>
      <c r="AG47" s="9">
        <f t="shared" si="30"/>
        <v>6</v>
      </c>
      <c r="AH47" s="648">
        <f>COUNTIF(C48:AG48,AI47)</f>
        <v>0</v>
      </c>
      <c r="AI47" s="633" t="s">
        <v>799</v>
      </c>
      <c r="AJ47" s="13">
        <v>31</v>
      </c>
      <c r="AL47" s="23"/>
      <c r="AM47" s="31"/>
      <c r="AN47" s="31"/>
      <c r="AO47" s="635">
        <f>Absences268101214[[#This Row],[debut]]</f>
        <v>0</v>
      </c>
      <c r="AP47" s="13"/>
      <c r="AQ47" s="13"/>
      <c r="AR47" s="13"/>
      <c r="AS47" s="13"/>
      <c r="AT47" s="13"/>
      <c r="AU47" s="94" t="s">
        <v>97</v>
      </c>
      <c r="AV47" s="50">
        <v>0.27083333333333331</v>
      </c>
      <c r="AW47" s="50">
        <v>0.60416666666666663</v>
      </c>
      <c r="AX47" s="51">
        <v>1</v>
      </c>
      <c r="AY47" s="52">
        <f>IF(AW47-AV47=0,0,(AW47-AV47)-(AX47*TIMEVALUE("00:30")))</f>
        <v>0.3125</v>
      </c>
      <c r="AZ47" s="53" t="s">
        <v>74</v>
      </c>
      <c r="BA47" s="54"/>
      <c r="BB47" s="55"/>
      <c r="BC47" s="56"/>
      <c r="BD47" s="56"/>
      <c r="BE47" s="56"/>
      <c r="BF47" s="56"/>
      <c r="BH47" s="290"/>
      <c r="BI47" s="294"/>
      <c r="BJ47" s="294"/>
      <c r="BK47" s="294"/>
      <c r="BL47" s="294"/>
      <c r="BM47" s="294"/>
      <c r="BN47" s="294"/>
      <c r="BO47" s="294"/>
      <c r="BP47" s="294"/>
      <c r="BQ47" s="294"/>
      <c r="BR47" s="294"/>
      <c r="BS47" s="294"/>
      <c r="BT47" s="294"/>
      <c r="BU47" s="294"/>
      <c r="BV47" s="294"/>
      <c r="BW47" s="313"/>
    </row>
    <row r="48" spans="1:83" ht="15.75" customHeight="1" x14ac:dyDescent="0.25">
      <c r="A48" s="679" t="s">
        <v>7</v>
      </c>
      <c r="B48" s="658">
        <f>COUNTIF(C48:AG48,A48)</f>
        <v>0</v>
      </c>
      <c r="C48" s="6" t="str">
        <f t="array" ref="C48">IFERROR(INDEX($AK$17:$AN$116,MATCH(1,(C44&gt;=$AM$17:$AM$116)*($AN$17:$AN$116&gt;=C44)*($AK$17:$AK$116=$U$2),0),2),"")</f>
        <v/>
      </c>
      <c r="D48" s="3" t="str">
        <f t="array" ref="D48">IFERROR(INDEX($AK$17:$AN$116,MATCH(1,(D44&gt;=$AM$17:$AM$116)*($AN$17:$AN$116&gt;=D44)*($AK$17:$AK$116=$U$2),0),2),"")</f>
        <v/>
      </c>
      <c r="E48" s="3" t="str">
        <f t="array" ref="E48">IFERROR(INDEX($AK$17:$AN$116,MATCH(1,(E44&gt;=$AM$17:$AM$116)*($AN$17:$AN$116&gt;=E44)*($AK$17:$AK$116=$U$2),0),2),"")</f>
        <v/>
      </c>
      <c r="F48" s="3" t="str">
        <f t="array" ref="F48">IFERROR(INDEX($AK$17:$AN$116,MATCH(1,(F44&gt;=$AM$17:$AM$116)*($AN$17:$AN$116&gt;=F44)*($AK$17:$AK$116=$U$2),0),2),"")</f>
        <v/>
      </c>
      <c r="G48" s="3" t="str">
        <f t="array" ref="G48">IFERROR(INDEX($AK$17:$AN$116,MATCH(1,(G44&gt;=$AM$17:$AM$116)*($AN$17:$AN$116&gt;=G44)*($AK$17:$AK$116=$U$2),0),2),"")</f>
        <v/>
      </c>
      <c r="H48" s="3" t="str">
        <f t="array" ref="H48">IFERROR(INDEX($AK$17:$AN$116,MATCH(1,(H44&gt;=$AM$17:$AM$116)*($AN$17:$AN$116&gt;=H44)*($AK$17:$AK$116=$U$2),0),2),"")</f>
        <v/>
      </c>
      <c r="I48" s="3" t="str">
        <f t="array" ref="I48">IFERROR(INDEX($AK$17:$AN$116,MATCH(1,(I44&gt;=$AM$17:$AM$116)*($AN$17:$AN$116&gt;=I44)*($AK$17:$AK$116=$U$2),0),2),"")</f>
        <v/>
      </c>
      <c r="J48" s="3" t="str">
        <f t="array" ref="J48">IFERROR(INDEX($AK$17:$AN$116,MATCH(1,(J44&gt;=$AM$17:$AM$116)*($AN$17:$AN$116&gt;=J44)*($AK$17:$AK$116=$U$2),0),2),"")</f>
        <v/>
      </c>
      <c r="K48" s="3" t="str">
        <f t="array" ref="K48">IFERROR(INDEX($AK$17:$AN$116,MATCH(1,(K44&gt;=$AM$17:$AM$116)*($AN$17:$AN$116&gt;=K44)*($AK$17:$AK$116=$U$2),0),2),"")</f>
        <v/>
      </c>
      <c r="L48" s="3" t="str">
        <f t="array" ref="L48">IFERROR(INDEX($AK$17:$AN$116,MATCH(1,(L44&gt;=$AM$17:$AM$116)*($AN$17:$AN$116&gt;=L44)*($AK$17:$AK$116=$U$2),0),2),"")</f>
        <v/>
      </c>
      <c r="M48" s="3" t="str">
        <f t="array" ref="M48">IFERROR(INDEX($AK$17:$AN$116,MATCH(1,(M44&gt;=$AM$17:$AM$116)*($AN$17:$AN$116&gt;=M44)*($AK$17:$AK$116=$U$2),0),2),"")</f>
        <v/>
      </c>
      <c r="N48" s="3" t="str">
        <f t="array" ref="N48">IFERROR(INDEX($AK$17:$AN$116,MATCH(1,(N44&gt;=$AM$17:$AM$116)*($AN$17:$AN$116&gt;=N44)*($AK$17:$AK$116=$U$2),0),2),"")</f>
        <v/>
      </c>
      <c r="O48" s="3" t="str">
        <f t="array" ref="O48">IFERROR(INDEX($AK$17:$AN$116,MATCH(1,(O44&gt;=$AM$17:$AM$116)*($AN$17:$AN$116&gt;=O44)*($AK$17:$AK$116=$U$2),0),2),"")</f>
        <v/>
      </c>
      <c r="P48" s="3" t="str">
        <f t="array" ref="P48">IFERROR(INDEX($AK$17:$AN$116,MATCH(1,(P44&gt;=$AM$17:$AM$116)*($AN$17:$AN$116&gt;=P44)*($AK$17:$AK$116=$U$2),0),2),"")</f>
        <v/>
      </c>
      <c r="Q48" s="3" t="str">
        <f t="array" ref="Q48">IFERROR(INDEX($AK$17:$AN$116,MATCH(1,(Q44&gt;=$AM$17:$AM$116)*($AN$17:$AN$116&gt;=Q44)*($AK$17:$AK$116=$U$2),0),2),"")</f>
        <v/>
      </c>
      <c r="R48" s="3" t="str">
        <f t="array" ref="R48">IFERROR(INDEX($AK$17:$AN$116,MATCH(1,(R44&gt;=$AM$17:$AM$116)*($AN$17:$AN$116&gt;=R44)*($AK$17:$AK$116=$U$2),0),2),"")</f>
        <v/>
      </c>
      <c r="S48" s="3" t="str">
        <f t="array" ref="S48">IFERROR(INDEX($AK$17:$AN$116,MATCH(1,(S44&gt;=$AM$17:$AM$116)*($AN$17:$AN$116&gt;=S44)*($AK$17:$AK$116=$U$2),0),2),"")</f>
        <v/>
      </c>
      <c r="T48" s="3" t="str">
        <f t="array" ref="T48">IFERROR(INDEX($AK$17:$AN$116,MATCH(1,(T44&gt;=$AM$17:$AM$116)*($AN$17:$AN$116&gt;=T44)*($AK$17:$AK$116=$U$2),0),2),"")</f>
        <v/>
      </c>
      <c r="U48" s="3" t="str">
        <f t="array" ref="U48">IFERROR(INDEX($AK$17:$AN$116,MATCH(1,(U44&gt;=$AM$17:$AM$116)*($AN$17:$AN$116&gt;=U44)*($AK$17:$AK$116=$U$2),0),2),"")</f>
        <v/>
      </c>
      <c r="V48" s="3" t="str">
        <f t="array" ref="V48">IFERROR(INDEX($AK$17:$AN$116,MATCH(1,(V44&gt;=$AM$17:$AM$116)*($AN$17:$AN$116&gt;=V44)*($AK$17:$AK$116=$U$2),0),2),"")</f>
        <v/>
      </c>
      <c r="W48" s="3" t="str">
        <f t="array" ref="W48">IFERROR(INDEX($AK$17:$AN$116,MATCH(1,(W44&gt;=$AM$17:$AM$116)*($AN$17:$AN$116&gt;=W44)*($AK$17:$AK$116=$U$2),0),2),"")</f>
        <v/>
      </c>
      <c r="X48" s="3" t="str">
        <f t="array" ref="X48">IFERROR(INDEX($AK$17:$AN$116,MATCH(1,(X44&gt;=$AM$17:$AM$116)*($AN$17:$AN$116&gt;=X44)*($AK$17:$AK$116=$U$2),0),2),"")</f>
        <v/>
      </c>
      <c r="Y48" s="3" t="str">
        <f t="array" ref="Y48">IFERROR(INDEX($AK$17:$AN$116,MATCH(1,(Y44&gt;=$AM$17:$AM$116)*($AN$17:$AN$116&gt;=Y44)*($AK$17:$AK$116=$U$2),0),2),"")</f>
        <v/>
      </c>
      <c r="Z48" s="3" t="str">
        <f t="array" ref="Z48">IFERROR(INDEX($AK$17:$AN$116,MATCH(1,(Z44&gt;=$AM$17:$AM$116)*($AN$17:$AN$116&gt;=Z44)*($AK$17:$AK$116=$U$2),0),2),"")</f>
        <v/>
      </c>
      <c r="AA48" s="3" t="str">
        <f t="array" ref="AA48">IFERROR(INDEX($AK$17:$AN$116,MATCH(1,(AA44&gt;=$AM$17:$AM$116)*($AN$17:$AN$116&gt;=AA44)*($AK$17:$AK$116=$U$2),0),2),"")</f>
        <v/>
      </c>
      <c r="AB48" s="3" t="str">
        <f t="array" ref="AB48">IFERROR(INDEX($AK$17:$AN$116,MATCH(1,(AB44&gt;=$AM$17:$AM$116)*($AN$17:$AN$116&gt;=AB44)*($AK$17:$AK$116=$U$2),0),2),"")</f>
        <v/>
      </c>
      <c r="AC48" s="3" t="str">
        <f t="array" ref="AC48">IFERROR(INDEX($AK$17:$AN$116,MATCH(1,(AC44&gt;=$AM$17:$AM$116)*($AN$17:$AN$116&gt;=AC44)*($AK$17:$AK$116=$U$2),0),2),"")</f>
        <v/>
      </c>
      <c r="AD48" s="3" t="str">
        <f t="array" ref="AD48">IFERROR(INDEX($AK$17:$AN$116,MATCH(1,(AD44&gt;=$AM$17:$AM$116)*($AN$17:$AN$116&gt;=AD44)*($AK$17:$AK$116=$U$2),0),2),"")</f>
        <v/>
      </c>
      <c r="AE48" s="3" t="str">
        <f t="array" ref="AE48">IFERROR(INDEX($AK$17:$AN$116,MATCH(1,(AE44&gt;=$AM$17:$AM$116)*($AN$17:$AN$116&gt;=AE44)*($AK$17:$AK$116=$U$2),0),2),"")</f>
        <v/>
      </c>
      <c r="AF48" s="3" t="str">
        <f t="array" ref="AF48">IFERROR(INDEX($AK$17:$AN$116,MATCH(1,(AF44&gt;=$AM$17:$AM$116)*($AN$17:$AN$116&gt;=AF44)*($AK$17:$AK$116=$U$2),0),2),"")</f>
        <v/>
      </c>
      <c r="AG48" s="7" t="str">
        <f t="array" ref="AG48">IFERROR(INDEX($AK$17:$AN$116,MATCH(1,(AG44&gt;=$AM$17:$AM$116)*($AN$17:$AN$116&gt;=AG44)*($AK$17:$AK$116=$U$2),0),2),"")</f>
        <v/>
      </c>
      <c r="AH48" s="648">
        <f>COUNTIF(C48:AG48,AI48)</f>
        <v>0</v>
      </c>
      <c r="AI48" s="639" t="s">
        <v>362</v>
      </c>
      <c r="AJ48" s="13">
        <v>32</v>
      </c>
      <c r="AL48" s="23"/>
      <c r="AM48" s="31"/>
      <c r="AN48" s="31"/>
      <c r="AO48" s="635">
        <f>Absences268101214[[#This Row],[debut]]</f>
        <v>0</v>
      </c>
      <c r="AP48" s="13"/>
      <c r="AQ48" s="13"/>
      <c r="AR48" s="13"/>
      <c r="AS48" s="13"/>
      <c r="AT48" s="13"/>
      <c r="AU48" s="1506" t="s">
        <v>131</v>
      </c>
      <c r="AV48" s="1506"/>
      <c r="AW48" s="1506"/>
      <c r="AX48" s="1506"/>
      <c r="AY48" s="1506"/>
      <c r="AZ48" s="1506"/>
      <c r="BA48" s="1506"/>
      <c r="BB48" s="1506"/>
      <c r="BC48" s="1506"/>
      <c r="BD48" s="1506"/>
      <c r="BE48" s="1506"/>
      <c r="BF48" s="1506"/>
      <c r="BH48" s="290"/>
      <c r="BI48" s="294"/>
      <c r="BJ48" s="294"/>
      <c r="BK48" s="294"/>
      <c r="BL48" s="294"/>
      <c r="BM48" s="294"/>
      <c r="BN48" s="294"/>
      <c r="BO48" s="294"/>
      <c r="BP48" s="294"/>
      <c r="BQ48" s="294"/>
      <c r="BR48" s="294"/>
      <c r="BS48" s="294"/>
      <c r="BT48" s="294"/>
      <c r="BU48" s="294"/>
      <c r="BV48" s="294"/>
      <c r="BW48" s="313"/>
    </row>
    <row r="49" spans="1:75" ht="16.5" customHeight="1" thickBot="1" x14ac:dyDescent="0.3">
      <c r="A49" s="678"/>
      <c r="B49" s="40">
        <f>COUNTA(C49:AG49)</f>
        <v>0</v>
      </c>
      <c r="C49" s="41"/>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677"/>
      <c r="AI49" s="678"/>
      <c r="AJ49" s="13">
        <v>33</v>
      </c>
      <c r="AL49" s="23"/>
      <c r="AM49" s="31"/>
      <c r="AN49" s="31"/>
      <c r="AO49" s="635">
        <f>Absences268101214[[#This Row],[debut]]</f>
        <v>0</v>
      </c>
      <c r="AP49" s="13"/>
      <c r="AQ49" s="13"/>
      <c r="AR49" s="13"/>
      <c r="AS49" s="13"/>
      <c r="AT49" s="13"/>
      <c r="AU49" s="1506"/>
      <c r="AV49" s="1506"/>
      <c r="AW49" s="1506"/>
      <c r="AX49" s="1506"/>
      <c r="AY49" s="1506"/>
      <c r="AZ49" s="1506"/>
      <c r="BA49" s="1506"/>
      <c r="BB49" s="1506"/>
      <c r="BC49" s="1506"/>
      <c r="BD49" s="1506"/>
      <c r="BE49" s="1506"/>
      <c r="BF49" s="1506"/>
      <c r="BH49" s="290"/>
      <c r="BI49" s="294"/>
      <c r="BJ49" s="294"/>
      <c r="BK49" s="294"/>
      <c r="BL49" s="294"/>
      <c r="BM49" s="294"/>
      <c r="BN49" s="294"/>
      <c r="BO49" s="294"/>
      <c r="BP49" s="294"/>
      <c r="BQ49" s="294"/>
      <c r="BR49" s="294"/>
      <c r="BS49" s="294"/>
      <c r="BT49" s="294"/>
      <c r="BU49" s="294"/>
      <c r="BV49" s="294"/>
      <c r="BW49" s="313"/>
    </row>
    <row r="50" spans="1:75" ht="14.25" customHeight="1" x14ac:dyDescent="0.25">
      <c r="A50" s="651"/>
      <c r="B50" s="20">
        <f>DATE($C$2,MONTH(1&amp;"/"&amp;C51),1)</f>
        <v>44044</v>
      </c>
      <c r="C50" s="14">
        <f>B50</f>
        <v>44044</v>
      </c>
      <c r="D50" s="14">
        <f>IFERROR(IF(C50+1&gt;$B$51,"",C50+1),"")</f>
        <v>44045</v>
      </c>
      <c r="E50" s="14">
        <f t="shared" ref="E50:AG50" si="31">IFERROR(IF(D50+1&gt;$B$51,"",D50+1),"")</f>
        <v>44046</v>
      </c>
      <c r="F50" s="14">
        <f t="shared" si="31"/>
        <v>44047</v>
      </c>
      <c r="G50" s="14">
        <f t="shared" si="31"/>
        <v>44048</v>
      </c>
      <c r="H50" s="14">
        <f t="shared" si="31"/>
        <v>44049</v>
      </c>
      <c r="I50" s="14">
        <f t="shared" si="31"/>
        <v>44050</v>
      </c>
      <c r="J50" s="14">
        <f t="shared" si="31"/>
        <v>44051</v>
      </c>
      <c r="K50" s="14">
        <f t="shared" si="31"/>
        <v>44052</v>
      </c>
      <c r="L50" s="14">
        <f t="shared" si="31"/>
        <v>44053</v>
      </c>
      <c r="M50" s="14">
        <f t="shared" si="31"/>
        <v>44054</v>
      </c>
      <c r="N50" s="14">
        <f t="shared" si="31"/>
        <v>44055</v>
      </c>
      <c r="O50" s="14">
        <f t="shared" si="31"/>
        <v>44056</v>
      </c>
      <c r="P50" s="14">
        <f t="shared" si="31"/>
        <v>44057</v>
      </c>
      <c r="Q50" s="14">
        <f t="shared" si="31"/>
        <v>44058</v>
      </c>
      <c r="R50" s="14">
        <f t="shared" si="31"/>
        <v>44059</v>
      </c>
      <c r="S50" s="14">
        <f t="shared" si="31"/>
        <v>44060</v>
      </c>
      <c r="T50" s="14">
        <f t="shared" si="31"/>
        <v>44061</v>
      </c>
      <c r="U50" s="14">
        <f t="shared" si="31"/>
        <v>44062</v>
      </c>
      <c r="V50" s="14">
        <f t="shared" si="31"/>
        <v>44063</v>
      </c>
      <c r="W50" s="14">
        <f t="shared" si="31"/>
        <v>44064</v>
      </c>
      <c r="X50" s="14">
        <f t="shared" si="31"/>
        <v>44065</v>
      </c>
      <c r="Y50" s="14">
        <f t="shared" si="31"/>
        <v>44066</v>
      </c>
      <c r="Z50" s="14">
        <f t="shared" si="31"/>
        <v>44067</v>
      </c>
      <c r="AA50" s="14">
        <f t="shared" si="31"/>
        <v>44068</v>
      </c>
      <c r="AB50" s="14">
        <f t="shared" si="31"/>
        <v>44069</v>
      </c>
      <c r="AC50" s="14">
        <f t="shared" si="31"/>
        <v>44070</v>
      </c>
      <c r="AD50" s="14">
        <f t="shared" si="31"/>
        <v>44071</v>
      </c>
      <c r="AE50" s="14">
        <f t="shared" si="31"/>
        <v>44072</v>
      </c>
      <c r="AF50" s="14">
        <f t="shared" si="31"/>
        <v>44073</v>
      </c>
      <c r="AG50" s="14">
        <f t="shared" si="31"/>
        <v>44074</v>
      </c>
      <c r="AH50" s="647">
        <f>COUNTIF(C54:AG54,AI50)</f>
        <v>0</v>
      </c>
      <c r="AI50" s="640" t="s">
        <v>8</v>
      </c>
      <c r="AJ50" s="13">
        <v>34</v>
      </c>
      <c r="AL50" s="23"/>
      <c r="AM50" s="31"/>
      <c r="AN50" s="31"/>
      <c r="AO50" s="635">
        <f>Absences268101214[[#This Row],[debut]]</f>
        <v>0</v>
      </c>
      <c r="AP50" s="13"/>
      <c r="AQ50" s="13"/>
      <c r="AR50" s="45"/>
      <c r="AS50" s="45"/>
      <c r="AT50" s="45"/>
      <c r="AU50" s="1506"/>
      <c r="AV50" s="1506"/>
      <c r="AW50" s="1506"/>
      <c r="AX50" s="1506"/>
      <c r="AY50" s="1506"/>
      <c r="AZ50" s="1506"/>
      <c r="BA50" s="1506"/>
      <c r="BB50" s="1506"/>
      <c r="BC50" s="1506"/>
      <c r="BD50" s="1506"/>
      <c r="BE50" s="1506"/>
      <c r="BF50" s="1506"/>
      <c r="BH50" s="348"/>
      <c r="BI50" s="349"/>
      <c r="BJ50" s="349"/>
      <c r="BK50" s="349"/>
      <c r="BL50" s="349"/>
      <c r="BM50" s="349"/>
      <c r="BN50" s="349"/>
      <c r="BO50" s="349"/>
      <c r="BP50" s="349"/>
      <c r="BQ50" s="349"/>
      <c r="BR50" s="349"/>
      <c r="BS50" s="349"/>
      <c r="BT50" s="349"/>
      <c r="BU50" s="349"/>
      <c r="BV50" s="349"/>
      <c r="BW50" s="350"/>
    </row>
    <row r="51" spans="1:75" ht="19.5" thickBot="1" x14ac:dyDescent="0.3">
      <c r="A51" s="652"/>
      <c r="B51" s="21">
        <f>EOMONTH(B50,0)</f>
        <v>44074</v>
      </c>
      <c r="C51" s="1476" t="s">
        <v>42</v>
      </c>
      <c r="D51" s="1477"/>
      <c r="E51" s="1477"/>
      <c r="F51" s="1477"/>
      <c r="G51" s="1477"/>
      <c r="H51" s="1477"/>
      <c r="I51" s="1477"/>
      <c r="J51" s="1477"/>
      <c r="K51" s="1477"/>
      <c r="L51" s="1477"/>
      <c r="M51" s="1477"/>
      <c r="N51" s="1477"/>
      <c r="O51" s="1477"/>
      <c r="P51" s="1477"/>
      <c r="Q51" s="1477"/>
      <c r="R51" s="1477"/>
      <c r="S51" s="1477"/>
      <c r="T51" s="1477"/>
      <c r="U51" s="1477"/>
      <c r="V51" s="1477"/>
      <c r="W51" s="1477"/>
      <c r="X51" s="1477"/>
      <c r="Y51" s="1477"/>
      <c r="Z51" s="1477"/>
      <c r="AA51" s="1477"/>
      <c r="AB51" s="1477"/>
      <c r="AC51" s="1477"/>
      <c r="AD51" s="1477"/>
      <c r="AE51" s="1477"/>
      <c r="AF51" s="1477"/>
      <c r="AG51" s="1478"/>
      <c r="AH51" s="648">
        <f>COUNTIF(C54:AG54,AI51)</f>
        <v>0</v>
      </c>
      <c r="AI51" s="629" t="s">
        <v>360</v>
      </c>
      <c r="AJ51" s="13">
        <v>35</v>
      </c>
      <c r="AL51" s="23"/>
      <c r="AM51" s="31"/>
      <c r="AN51" s="31"/>
      <c r="AO51" s="635">
        <f>Absences268101214[[#This Row],[debut]]</f>
        <v>0</v>
      </c>
      <c r="AP51" s="13"/>
      <c r="AQ51" s="13"/>
      <c r="AR51" s="13"/>
      <c r="AS51" s="13"/>
      <c r="AT51" s="13"/>
      <c r="AU51" s="94" t="s">
        <v>98</v>
      </c>
      <c r="AV51" s="50">
        <v>0.25</v>
      </c>
      <c r="AW51" s="50">
        <v>0.60416666666666663</v>
      </c>
      <c r="AX51" s="51">
        <v>1</v>
      </c>
      <c r="AY51" s="52">
        <f>IF(AW51-AV51=0,0,(AW51-AV51)-(AX51*TIMEVALUE("00:30")))</f>
        <v>0.33333333333333331</v>
      </c>
      <c r="AZ51" s="53" t="s">
        <v>75</v>
      </c>
      <c r="BA51" s="54"/>
      <c r="BB51" s="55"/>
      <c r="BC51" s="56"/>
      <c r="BD51" s="56"/>
      <c r="BE51" s="56"/>
      <c r="BF51" s="56"/>
    </row>
    <row r="52" spans="1:75" x14ac:dyDescent="0.25">
      <c r="A52" s="654" t="s">
        <v>662</v>
      </c>
      <c r="B52" s="657">
        <f>COUNTIF(C54:AG54,A52)</f>
        <v>0</v>
      </c>
      <c r="C52" s="6">
        <f t="shared" ref="C52:AG52" si="32">IFERROR(DAY(C50),"")</f>
        <v>1</v>
      </c>
      <c r="D52" s="3">
        <f t="shared" si="32"/>
        <v>2</v>
      </c>
      <c r="E52" s="3">
        <f t="shared" si="32"/>
        <v>3</v>
      </c>
      <c r="F52" s="3">
        <f t="shared" si="32"/>
        <v>4</v>
      </c>
      <c r="G52" s="3">
        <f t="shared" si="32"/>
        <v>5</v>
      </c>
      <c r="H52" s="3">
        <f t="shared" si="32"/>
        <v>6</v>
      </c>
      <c r="I52" s="3">
        <f t="shared" si="32"/>
        <v>7</v>
      </c>
      <c r="J52" s="3">
        <f t="shared" si="32"/>
        <v>8</v>
      </c>
      <c r="K52" s="3">
        <f t="shared" si="32"/>
        <v>9</v>
      </c>
      <c r="L52" s="3">
        <f t="shared" si="32"/>
        <v>10</v>
      </c>
      <c r="M52" s="3">
        <f t="shared" si="32"/>
        <v>11</v>
      </c>
      <c r="N52" s="3">
        <f t="shared" si="32"/>
        <v>12</v>
      </c>
      <c r="O52" s="3">
        <f t="shared" si="32"/>
        <v>13</v>
      </c>
      <c r="P52" s="3">
        <f t="shared" si="32"/>
        <v>14</v>
      </c>
      <c r="Q52" s="3">
        <f t="shared" si="32"/>
        <v>15</v>
      </c>
      <c r="R52" s="3">
        <f t="shared" si="32"/>
        <v>16</v>
      </c>
      <c r="S52" s="3">
        <f t="shared" si="32"/>
        <v>17</v>
      </c>
      <c r="T52" s="3">
        <f t="shared" si="32"/>
        <v>18</v>
      </c>
      <c r="U52" s="3">
        <f t="shared" si="32"/>
        <v>19</v>
      </c>
      <c r="V52" s="3">
        <f t="shared" si="32"/>
        <v>20</v>
      </c>
      <c r="W52" s="3">
        <f t="shared" si="32"/>
        <v>21</v>
      </c>
      <c r="X52" s="3">
        <f t="shared" si="32"/>
        <v>22</v>
      </c>
      <c r="Y52" s="3">
        <f t="shared" si="32"/>
        <v>23</v>
      </c>
      <c r="Z52" s="3">
        <f t="shared" si="32"/>
        <v>24</v>
      </c>
      <c r="AA52" s="3">
        <f t="shared" si="32"/>
        <v>25</v>
      </c>
      <c r="AB52" s="3">
        <f t="shared" si="32"/>
        <v>26</v>
      </c>
      <c r="AC52" s="3">
        <f t="shared" si="32"/>
        <v>27</v>
      </c>
      <c r="AD52" s="3">
        <f t="shared" si="32"/>
        <v>28</v>
      </c>
      <c r="AE52" s="3">
        <f t="shared" si="32"/>
        <v>29</v>
      </c>
      <c r="AF52" s="3">
        <f t="shared" si="32"/>
        <v>30</v>
      </c>
      <c r="AG52" s="7">
        <f t="shared" si="32"/>
        <v>31</v>
      </c>
      <c r="AH52" s="648">
        <f>COUNTIF(C54:AG54,AI52)</f>
        <v>0</v>
      </c>
      <c r="AI52" s="10" t="s">
        <v>6</v>
      </c>
      <c r="AJ52" s="13">
        <v>36</v>
      </c>
      <c r="AL52" s="23"/>
      <c r="AM52" s="31"/>
      <c r="AN52" s="31"/>
      <c r="AO52" s="635">
        <f>Absences268101214[[#This Row],[debut]]</f>
        <v>0</v>
      </c>
      <c r="AP52" s="13"/>
      <c r="AQ52" s="13"/>
      <c r="AR52" s="13"/>
      <c r="AS52" s="13"/>
      <c r="AT52" s="13"/>
      <c r="AU52" s="70"/>
      <c r="AV52" s="57"/>
      <c r="AW52" s="57"/>
      <c r="AX52" s="57"/>
      <c r="AY52" s="54"/>
      <c r="AZ52" s="54"/>
      <c r="BA52" s="54"/>
      <c r="BB52" s="55"/>
      <c r="BC52" s="56"/>
      <c r="BD52" s="56"/>
      <c r="BE52" s="56"/>
      <c r="BF52" s="56"/>
    </row>
    <row r="53" spans="1:75" ht="16.5" customHeight="1" thickBot="1" x14ac:dyDescent="0.3">
      <c r="A53" s="655" t="s">
        <v>800</v>
      </c>
      <c r="B53" s="658">
        <f>COUNTIF(C54:AG54,A53)</f>
        <v>0</v>
      </c>
      <c r="C53" s="5">
        <f t="shared" ref="C53:AC53" si="33">IF(C50="","",WEEKDAY(C50,1))</f>
        <v>7</v>
      </c>
      <c r="D53" s="8">
        <f t="shared" si="33"/>
        <v>1</v>
      </c>
      <c r="E53" s="8">
        <f t="shared" si="33"/>
        <v>2</v>
      </c>
      <c r="F53" s="8">
        <f t="shared" si="33"/>
        <v>3</v>
      </c>
      <c r="G53" s="8">
        <f t="shared" si="33"/>
        <v>4</v>
      </c>
      <c r="H53" s="8">
        <f t="shared" si="33"/>
        <v>5</v>
      </c>
      <c r="I53" s="8">
        <f t="shared" si="33"/>
        <v>6</v>
      </c>
      <c r="J53" s="8">
        <f t="shared" si="33"/>
        <v>7</v>
      </c>
      <c r="K53" s="8">
        <f t="shared" si="33"/>
        <v>1</v>
      </c>
      <c r="L53" s="8">
        <f t="shared" si="33"/>
        <v>2</v>
      </c>
      <c r="M53" s="8">
        <f t="shared" si="33"/>
        <v>3</v>
      </c>
      <c r="N53" s="8">
        <f t="shared" si="33"/>
        <v>4</v>
      </c>
      <c r="O53" s="8">
        <f t="shared" si="33"/>
        <v>5</v>
      </c>
      <c r="P53" s="8">
        <f t="shared" si="33"/>
        <v>6</v>
      </c>
      <c r="Q53" s="8">
        <f t="shared" si="33"/>
        <v>7</v>
      </c>
      <c r="R53" s="8">
        <f t="shared" si="33"/>
        <v>1</v>
      </c>
      <c r="S53" s="8">
        <f t="shared" si="33"/>
        <v>2</v>
      </c>
      <c r="T53" s="8">
        <f t="shared" si="33"/>
        <v>3</v>
      </c>
      <c r="U53" s="8">
        <f t="shared" si="33"/>
        <v>4</v>
      </c>
      <c r="V53" s="8">
        <f t="shared" si="33"/>
        <v>5</v>
      </c>
      <c r="W53" s="8">
        <f t="shared" si="33"/>
        <v>6</v>
      </c>
      <c r="X53" s="8">
        <f t="shared" si="33"/>
        <v>7</v>
      </c>
      <c r="Y53" s="8">
        <f t="shared" si="33"/>
        <v>1</v>
      </c>
      <c r="Z53" s="8">
        <f t="shared" si="33"/>
        <v>2</v>
      </c>
      <c r="AA53" s="8">
        <f t="shared" si="33"/>
        <v>3</v>
      </c>
      <c r="AB53" s="8">
        <f t="shared" si="33"/>
        <v>4</v>
      </c>
      <c r="AC53" s="8">
        <f t="shared" si="33"/>
        <v>5</v>
      </c>
      <c r="AD53" s="8">
        <f>IF(AD50="","",WEEKDAY(AD50,1))</f>
        <v>6</v>
      </c>
      <c r="AE53" s="8">
        <f>IF(AE50="","",WEEKDAY(AE50,1))</f>
        <v>7</v>
      </c>
      <c r="AF53" s="8">
        <f t="shared" ref="AF53:AG53" si="34">IF(AF50="","",WEEKDAY(AF50,1))</f>
        <v>1</v>
      </c>
      <c r="AG53" s="9">
        <f t="shared" si="34"/>
        <v>2</v>
      </c>
      <c r="AH53" s="648">
        <f>COUNTIF(C54:AG54,AI53)</f>
        <v>0</v>
      </c>
      <c r="AI53" s="633" t="s">
        <v>799</v>
      </c>
      <c r="AJ53" s="13">
        <v>37</v>
      </c>
      <c r="AL53" s="23"/>
      <c r="AM53" s="31"/>
      <c r="AN53" s="31"/>
      <c r="AO53" s="635">
        <f>Absences268101214[[#This Row],[debut]]</f>
        <v>0</v>
      </c>
      <c r="AP53" s="13"/>
      <c r="AQ53" s="13"/>
      <c r="AR53" s="13"/>
      <c r="AS53" s="13"/>
      <c r="AT53" s="13"/>
      <c r="AU53" s="94" t="s">
        <v>99</v>
      </c>
      <c r="AV53" s="50">
        <v>0.58333333333333337</v>
      </c>
      <c r="AW53" s="50">
        <v>0.83333333333333337</v>
      </c>
      <c r="AX53" s="51">
        <v>0</v>
      </c>
      <c r="AY53" s="52">
        <f>IF(AW53-AV53=0,0,(AW53-AV53)-(AX53*TIMEVALUE("00:30")))</f>
        <v>0.25</v>
      </c>
      <c r="AZ53" s="53" t="s">
        <v>123</v>
      </c>
      <c r="BA53" s="54"/>
      <c r="BB53" s="55"/>
      <c r="BC53" s="56"/>
      <c r="BD53" s="56"/>
      <c r="BE53" s="56"/>
      <c r="BF53" s="56"/>
    </row>
    <row r="54" spans="1:75" x14ac:dyDescent="0.25">
      <c r="A54" s="679" t="s">
        <v>7</v>
      </c>
      <c r="B54" s="658">
        <f>COUNTIF(C54:AG54,A54)</f>
        <v>0</v>
      </c>
      <c r="C54" s="6" t="str">
        <f t="array" ref="C54">IFERROR(INDEX($AK$17:$AN$116,MATCH(1,(C50&gt;=$AM$17:$AM$116)*($AN$17:$AN$116&gt;=C50)*($AK$17:$AK$116=$U$2),0),2),"")</f>
        <v/>
      </c>
      <c r="D54" s="3" t="str">
        <f t="array" ref="D54">IFERROR(INDEX($AK$17:$AN$116,MATCH(1,(D50&gt;=$AM$17:$AM$116)*($AN$17:$AN$116&gt;=D50)*($AK$17:$AK$116=$U$2),0),2),"")</f>
        <v/>
      </c>
      <c r="E54" s="3" t="str">
        <f t="array" ref="E54">IFERROR(INDEX($AK$17:$AN$116,MATCH(1,(E50&gt;=$AM$17:$AM$116)*($AN$17:$AN$116&gt;=E50)*($AK$17:$AK$116=$U$2),0),2),"")</f>
        <v/>
      </c>
      <c r="F54" s="3" t="str">
        <f t="array" ref="F54">IFERROR(INDEX($AK$17:$AN$116,MATCH(1,(F50&gt;=$AM$17:$AM$116)*($AN$17:$AN$116&gt;=F50)*($AK$17:$AK$116=$U$2),0),2),"")</f>
        <v/>
      </c>
      <c r="G54" s="3" t="str">
        <f t="array" ref="G54">IFERROR(INDEX($AK$17:$AN$116,MATCH(1,(G50&gt;=$AM$17:$AM$116)*($AN$17:$AN$116&gt;=G50)*($AK$17:$AK$116=$U$2),0),2),"")</f>
        <v/>
      </c>
      <c r="H54" s="3" t="str">
        <f t="array" ref="H54">IFERROR(INDEX($AK$17:$AN$116,MATCH(1,(H50&gt;=$AM$17:$AM$116)*($AN$17:$AN$116&gt;=H50)*($AK$17:$AK$116=$U$2),0),2),"")</f>
        <v/>
      </c>
      <c r="I54" s="3" t="str">
        <f t="array" ref="I54">IFERROR(INDEX($AK$17:$AN$116,MATCH(1,(I50&gt;=$AM$17:$AM$116)*($AN$17:$AN$116&gt;=I50)*($AK$17:$AK$116=$U$2),0),2),"")</f>
        <v/>
      </c>
      <c r="J54" s="3" t="str">
        <f t="array" ref="J54">IFERROR(INDEX($AK$17:$AN$116,MATCH(1,(J50&gt;=$AM$17:$AM$116)*($AN$17:$AN$116&gt;=J50)*($AK$17:$AK$116=$U$2),0),2),"")</f>
        <v/>
      </c>
      <c r="K54" s="3" t="str">
        <f t="array" ref="K54">IFERROR(INDEX($AK$17:$AN$116,MATCH(1,(K50&gt;=$AM$17:$AM$116)*($AN$17:$AN$116&gt;=K50)*($AK$17:$AK$116=$U$2),0),2),"")</f>
        <v/>
      </c>
      <c r="L54" s="3" t="str">
        <f t="array" ref="L54">IFERROR(INDEX($AK$17:$AN$116,MATCH(1,(L50&gt;=$AM$17:$AM$116)*($AN$17:$AN$116&gt;=L50)*($AK$17:$AK$116=$U$2),0),2),"")</f>
        <v/>
      </c>
      <c r="M54" s="3" t="str">
        <f t="array" ref="M54">IFERROR(INDEX($AK$17:$AN$116,MATCH(1,(M50&gt;=$AM$17:$AM$116)*($AN$17:$AN$116&gt;=M50)*($AK$17:$AK$116=$U$2),0),2),"")</f>
        <v/>
      </c>
      <c r="N54" s="3" t="str">
        <f t="array" ref="N54">IFERROR(INDEX($AK$17:$AN$116,MATCH(1,(N50&gt;=$AM$17:$AM$116)*($AN$17:$AN$116&gt;=N50)*($AK$17:$AK$116=$U$2),0),2),"")</f>
        <v/>
      </c>
      <c r="O54" s="3" t="str">
        <f t="array" ref="O54">IFERROR(INDEX($AK$17:$AN$116,MATCH(1,(O50&gt;=$AM$17:$AM$116)*($AN$17:$AN$116&gt;=O50)*($AK$17:$AK$116=$U$2),0),2),"")</f>
        <v/>
      </c>
      <c r="P54" s="3" t="str">
        <f t="array" ref="P54">IFERROR(INDEX($AK$17:$AN$116,MATCH(1,(P50&gt;=$AM$17:$AM$116)*($AN$17:$AN$116&gt;=P50)*($AK$17:$AK$116=$U$2),0),2),"")</f>
        <v/>
      </c>
      <c r="Q54" s="3" t="str">
        <f t="array" ref="Q54">IFERROR(INDEX($AK$17:$AN$116,MATCH(1,(Q50&gt;=$AM$17:$AM$116)*($AN$17:$AN$116&gt;=Q50)*($AK$17:$AK$116=$U$2),0),2),"")</f>
        <v/>
      </c>
      <c r="R54" s="3" t="str">
        <f t="array" ref="R54">IFERROR(INDEX($AK$17:$AN$116,MATCH(1,(R50&gt;=$AM$17:$AM$116)*($AN$17:$AN$116&gt;=R50)*($AK$17:$AK$116=$U$2),0),2),"")</f>
        <v/>
      </c>
      <c r="S54" s="3" t="str">
        <f t="array" ref="S54">IFERROR(INDEX($AK$17:$AN$116,MATCH(1,(S50&gt;=$AM$17:$AM$116)*($AN$17:$AN$116&gt;=S50)*($AK$17:$AK$116=$U$2),0),2),"")</f>
        <v/>
      </c>
      <c r="T54" s="3" t="str">
        <f t="array" ref="T54">IFERROR(INDEX($AK$17:$AN$116,MATCH(1,(T50&gt;=$AM$17:$AM$116)*($AN$17:$AN$116&gt;=T50)*($AK$17:$AK$116=$U$2),0),2),"")</f>
        <v/>
      </c>
      <c r="U54" s="3" t="str">
        <f t="array" ref="U54">IFERROR(INDEX($AK$17:$AN$116,MATCH(1,(U50&gt;=$AM$17:$AM$116)*($AN$17:$AN$116&gt;=U50)*($AK$17:$AK$116=$U$2),0),2),"")</f>
        <v/>
      </c>
      <c r="V54" s="3" t="str">
        <f t="array" ref="V54">IFERROR(INDEX($AK$17:$AN$116,MATCH(1,(V50&gt;=$AM$17:$AM$116)*($AN$17:$AN$116&gt;=V50)*($AK$17:$AK$116=$U$2),0),2),"")</f>
        <v/>
      </c>
      <c r="W54" s="3" t="str">
        <f t="array" ref="W54">IFERROR(INDEX($AK$17:$AN$116,MATCH(1,(W50&gt;=$AM$17:$AM$116)*($AN$17:$AN$116&gt;=W50)*($AK$17:$AK$116=$U$2),0),2),"")</f>
        <v/>
      </c>
      <c r="X54" s="3" t="str">
        <f t="array" ref="X54">IFERROR(INDEX($AK$17:$AN$116,MATCH(1,(X50&gt;=$AM$17:$AM$116)*($AN$17:$AN$116&gt;=X50)*($AK$17:$AK$116=$U$2),0),2),"")</f>
        <v/>
      </c>
      <c r="Y54" s="3" t="str">
        <f t="array" ref="Y54">IFERROR(INDEX($AK$17:$AN$116,MATCH(1,(Y50&gt;=$AM$17:$AM$116)*($AN$17:$AN$116&gt;=Y50)*($AK$17:$AK$116=$U$2),0),2),"")</f>
        <v/>
      </c>
      <c r="Z54" s="3" t="str">
        <f t="array" ref="Z54">IFERROR(INDEX($AK$17:$AN$116,MATCH(1,(Z50&gt;=$AM$17:$AM$116)*($AN$17:$AN$116&gt;=Z50)*($AK$17:$AK$116=$U$2),0),2),"")</f>
        <v/>
      </c>
      <c r="AA54" s="3" t="str">
        <f t="array" ref="AA54">IFERROR(INDEX($AK$17:$AN$116,MATCH(1,(AA50&gt;=$AM$17:$AM$116)*($AN$17:$AN$116&gt;=AA50)*($AK$17:$AK$116=$U$2),0),2),"")</f>
        <v/>
      </c>
      <c r="AB54" s="3" t="str">
        <f t="array" ref="AB54">IFERROR(INDEX($AK$17:$AN$116,MATCH(1,(AB50&gt;=$AM$17:$AM$116)*($AN$17:$AN$116&gt;=AB50)*($AK$17:$AK$116=$U$2),0),2),"")</f>
        <v/>
      </c>
      <c r="AC54" s="3" t="str">
        <f t="array" ref="AC54">IFERROR(INDEX($AK$17:$AN$116,MATCH(1,(AC50&gt;=$AM$17:$AM$116)*($AN$17:$AN$116&gt;=AC50)*($AK$17:$AK$116=$U$2),0),2),"")</f>
        <v/>
      </c>
      <c r="AD54" s="3" t="str">
        <f t="array" ref="AD54">IFERROR(INDEX($AK$17:$AN$116,MATCH(1,(AD50&gt;=$AM$17:$AM$116)*($AN$17:$AN$116&gt;=AD50)*($AK$17:$AK$116=$U$2),0),2),"")</f>
        <v/>
      </c>
      <c r="AE54" s="3" t="str">
        <f t="array" ref="AE54">IFERROR(INDEX($AK$17:$AN$116,MATCH(1,(AE50&gt;=$AM$17:$AM$116)*($AN$17:$AN$116&gt;=AE50)*($AK$17:$AK$116=$U$2),0),2),"")</f>
        <v/>
      </c>
      <c r="AF54" s="3" t="str">
        <f t="array" ref="AF54">IFERROR(INDEX($AK$17:$AN$116,MATCH(1,(AF50&gt;=$AM$17:$AM$116)*($AN$17:$AN$116&gt;=AF50)*($AK$17:$AK$116=$U$2),0),2),"")</f>
        <v/>
      </c>
      <c r="AG54" s="7" t="str">
        <f t="array" ref="AG54">IFERROR(INDEX($AK$17:$AN$116,MATCH(1,(AG50&gt;=$AM$17:$AM$116)*($AN$17:$AN$116&gt;=AG50)*($AK$17:$AK$116=$U$2),0),2),"")</f>
        <v/>
      </c>
      <c r="AH54" s="648">
        <f>COUNTIF(C54:AG54,AI54)</f>
        <v>0</v>
      </c>
      <c r="AI54" s="639" t="s">
        <v>362</v>
      </c>
      <c r="AJ54" s="13">
        <v>38</v>
      </c>
      <c r="AL54" s="23"/>
      <c r="AM54" s="31"/>
      <c r="AN54" s="31"/>
      <c r="AO54" s="635">
        <f>Absences268101214[[#This Row],[debut]]</f>
        <v>0</v>
      </c>
      <c r="AP54" s="13"/>
      <c r="AQ54" s="13"/>
      <c r="AR54" s="13"/>
      <c r="AS54" s="13"/>
      <c r="AT54" s="13"/>
      <c r="AU54" s="13"/>
      <c r="AV54" s="13"/>
      <c r="AW54" s="13"/>
      <c r="AX54" s="13"/>
      <c r="AY54" s="13"/>
      <c r="AZ54" s="13"/>
      <c r="BA54" s="13"/>
      <c r="BB54" s="13"/>
      <c r="BC54" s="13"/>
      <c r="BD54" s="13"/>
      <c r="BE54" s="13"/>
      <c r="BF54" s="13"/>
    </row>
    <row r="55" spans="1:75" ht="16.5" customHeight="1" thickBot="1" x14ac:dyDescent="0.3">
      <c r="A55" s="678"/>
      <c r="B55" s="40">
        <f>COUNTA(C55:AG55)</f>
        <v>0</v>
      </c>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677"/>
      <c r="AI55" s="678"/>
      <c r="AJ55" s="13">
        <v>39</v>
      </c>
      <c r="AL55" s="23"/>
      <c r="AM55" s="31"/>
      <c r="AN55" s="31"/>
      <c r="AO55" s="635">
        <f>Absences268101214[[#This Row],[debut]]</f>
        <v>0</v>
      </c>
      <c r="AP55" s="13"/>
      <c r="AQ55" s="13"/>
      <c r="AR55" s="13"/>
      <c r="AS55" s="13"/>
      <c r="AT55" s="13"/>
      <c r="AU55" s="13"/>
      <c r="AV55" s="13"/>
      <c r="AW55" s="13"/>
      <c r="AX55" s="13"/>
      <c r="AY55" s="13"/>
      <c r="AZ55" s="13"/>
      <c r="BA55" s="13"/>
      <c r="BB55" s="13"/>
      <c r="BC55" s="13"/>
      <c r="BD55" s="13"/>
      <c r="BE55" s="13"/>
      <c r="BF55" s="13"/>
    </row>
    <row r="56" spans="1:75" ht="14.25" customHeight="1" x14ac:dyDescent="0.25">
      <c r="A56" s="651"/>
      <c r="B56" s="20">
        <f>DATE($C$2,MONTH(1&amp;"/"&amp;C57),1)</f>
        <v>44075</v>
      </c>
      <c r="C56" s="14">
        <f>B56</f>
        <v>44075</v>
      </c>
      <c r="D56" s="14">
        <f>IFERROR(IF(C56+1&gt;$B$57,"",C56+1),"")</f>
        <v>44076</v>
      </c>
      <c r="E56" s="14">
        <f t="shared" ref="E56:AG56" si="35">IFERROR(IF(D56+1&gt;$B$57,"",D56+1),"")</f>
        <v>44077</v>
      </c>
      <c r="F56" s="14">
        <f t="shared" si="35"/>
        <v>44078</v>
      </c>
      <c r="G56" s="14">
        <f t="shared" si="35"/>
        <v>44079</v>
      </c>
      <c r="H56" s="14">
        <f t="shared" si="35"/>
        <v>44080</v>
      </c>
      <c r="I56" s="14">
        <f t="shared" si="35"/>
        <v>44081</v>
      </c>
      <c r="J56" s="14">
        <f t="shared" si="35"/>
        <v>44082</v>
      </c>
      <c r="K56" s="14">
        <f t="shared" si="35"/>
        <v>44083</v>
      </c>
      <c r="L56" s="14">
        <f t="shared" si="35"/>
        <v>44084</v>
      </c>
      <c r="M56" s="14">
        <f t="shared" si="35"/>
        <v>44085</v>
      </c>
      <c r="N56" s="14">
        <f t="shared" si="35"/>
        <v>44086</v>
      </c>
      <c r="O56" s="14">
        <f t="shared" si="35"/>
        <v>44087</v>
      </c>
      <c r="P56" s="14">
        <f t="shared" si="35"/>
        <v>44088</v>
      </c>
      <c r="Q56" s="14">
        <f t="shared" si="35"/>
        <v>44089</v>
      </c>
      <c r="R56" s="14">
        <f t="shared" si="35"/>
        <v>44090</v>
      </c>
      <c r="S56" s="14">
        <f t="shared" si="35"/>
        <v>44091</v>
      </c>
      <c r="T56" s="14">
        <f t="shared" si="35"/>
        <v>44092</v>
      </c>
      <c r="U56" s="14">
        <f t="shared" si="35"/>
        <v>44093</v>
      </c>
      <c r="V56" s="14">
        <f t="shared" si="35"/>
        <v>44094</v>
      </c>
      <c r="W56" s="14">
        <f t="shared" si="35"/>
        <v>44095</v>
      </c>
      <c r="X56" s="14">
        <f t="shared" si="35"/>
        <v>44096</v>
      </c>
      <c r="Y56" s="14">
        <f t="shared" si="35"/>
        <v>44097</v>
      </c>
      <c r="Z56" s="14">
        <f t="shared" si="35"/>
        <v>44098</v>
      </c>
      <c r="AA56" s="14">
        <f t="shared" si="35"/>
        <v>44099</v>
      </c>
      <c r="AB56" s="14">
        <f t="shared" si="35"/>
        <v>44100</v>
      </c>
      <c r="AC56" s="14">
        <f t="shared" si="35"/>
        <v>44101</v>
      </c>
      <c r="AD56" s="14">
        <f t="shared" si="35"/>
        <v>44102</v>
      </c>
      <c r="AE56" s="14">
        <f t="shared" si="35"/>
        <v>44103</v>
      </c>
      <c r="AF56" s="14">
        <f t="shared" si="35"/>
        <v>44104</v>
      </c>
      <c r="AG56" s="14" t="str">
        <f t="shared" si="35"/>
        <v/>
      </c>
      <c r="AH56" s="647">
        <f>COUNTIF(C60:AG60,AI56)</f>
        <v>0</v>
      </c>
      <c r="AI56" s="640" t="s">
        <v>8</v>
      </c>
      <c r="AJ56" s="13">
        <v>40</v>
      </c>
      <c r="AL56" s="23"/>
      <c r="AM56" s="31"/>
      <c r="AN56" s="31"/>
      <c r="AO56" s="635">
        <f>Absences268101214[[#This Row],[debut]]</f>
        <v>0</v>
      </c>
      <c r="AP56" s="13"/>
      <c r="AQ56" s="13"/>
      <c r="AR56" s="45"/>
      <c r="AS56" s="45"/>
      <c r="AT56" s="45"/>
      <c r="AU56" s="54"/>
      <c r="AV56" s="54"/>
      <c r="AW56" s="72"/>
      <c r="AX56" s="56"/>
      <c r="AY56" s="54"/>
      <c r="AZ56" s="54"/>
      <c r="BA56" s="54"/>
      <c r="BB56" s="55"/>
      <c r="BC56" s="56"/>
      <c r="BD56" s="56"/>
      <c r="BE56" s="56"/>
      <c r="BF56" s="56"/>
    </row>
    <row r="57" spans="1:75" ht="19.5" thickBot="1" x14ac:dyDescent="0.3">
      <c r="A57" s="652"/>
      <c r="B57" s="21">
        <f>EOMONTH(B56,0)</f>
        <v>44104</v>
      </c>
      <c r="C57" s="1476" t="s">
        <v>41</v>
      </c>
      <c r="D57" s="1477"/>
      <c r="E57" s="1477"/>
      <c r="F57" s="1477"/>
      <c r="G57" s="1477"/>
      <c r="H57" s="1477"/>
      <c r="I57" s="1477"/>
      <c r="J57" s="1477"/>
      <c r="K57" s="1477"/>
      <c r="L57" s="1477"/>
      <c r="M57" s="1477"/>
      <c r="N57" s="1477"/>
      <c r="O57" s="1477"/>
      <c r="P57" s="1477"/>
      <c r="Q57" s="1477"/>
      <c r="R57" s="1477"/>
      <c r="S57" s="1477"/>
      <c r="T57" s="1477"/>
      <c r="U57" s="1477"/>
      <c r="V57" s="1477"/>
      <c r="W57" s="1477"/>
      <c r="X57" s="1477"/>
      <c r="Y57" s="1477"/>
      <c r="Z57" s="1477"/>
      <c r="AA57" s="1477"/>
      <c r="AB57" s="1477"/>
      <c r="AC57" s="1477"/>
      <c r="AD57" s="1477"/>
      <c r="AE57" s="1477"/>
      <c r="AF57" s="1477"/>
      <c r="AG57" s="1478"/>
      <c r="AH57" s="648">
        <f>COUNTIF(C60:AG60,AI57)</f>
        <v>0</v>
      </c>
      <c r="AI57" s="629" t="s">
        <v>360</v>
      </c>
      <c r="AJ57" s="13">
        <v>41</v>
      </c>
      <c r="AL57" s="23"/>
      <c r="AM57" s="31"/>
      <c r="AN57" s="31"/>
      <c r="AO57" s="635">
        <f>Absences268101214[[#This Row],[debut]]</f>
        <v>0</v>
      </c>
      <c r="AP57" s="13"/>
      <c r="AQ57" s="13"/>
      <c r="AR57" s="13"/>
      <c r="AS57" s="13"/>
      <c r="AT57" s="13"/>
      <c r="AU57" s="94" t="s">
        <v>100</v>
      </c>
      <c r="AV57" s="50">
        <v>0.33333333333333331</v>
      </c>
      <c r="AW57" s="50">
        <v>0.625</v>
      </c>
      <c r="AX57" s="51">
        <v>1</v>
      </c>
      <c r="AY57" s="52">
        <f>IF(AW57-AV57=0,0,(AW57-AV57)-(AX57*TIMEVALUE("00:30")))</f>
        <v>0.27083333333333337</v>
      </c>
      <c r="AZ57" s="53" t="s">
        <v>124</v>
      </c>
      <c r="BA57" s="54"/>
      <c r="BB57" s="55"/>
      <c r="BC57" s="56"/>
      <c r="BD57" s="56"/>
      <c r="BE57" s="56"/>
      <c r="BF57" s="56"/>
    </row>
    <row r="58" spans="1:75" x14ac:dyDescent="0.25">
      <c r="A58" s="654" t="s">
        <v>662</v>
      </c>
      <c r="B58" s="657">
        <f>COUNTIF(C60:AG60,A58)</f>
        <v>0</v>
      </c>
      <c r="C58" s="6">
        <f t="shared" ref="C58:AG58" si="36">IFERROR(DAY(C56),"")</f>
        <v>1</v>
      </c>
      <c r="D58" s="3">
        <f t="shared" si="36"/>
        <v>2</v>
      </c>
      <c r="E58" s="3">
        <f t="shared" si="36"/>
        <v>3</v>
      </c>
      <c r="F58" s="3">
        <f t="shared" si="36"/>
        <v>4</v>
      </c>
      <c r="G58" s="3">
        <f t="shared" si="36"/>
        <v>5</v>
      </c>
      <c r="H58" s="3">
        <f t="shared" si="36"/>
        <v>6</v>
      </c>
      <c r="I58" s="3">
        <f t="shared" si="36"/>
        <v>7</v>
      </c>
      <c r="J58" s="3">
        <f t="shared" si="36"/>
        <v>8</v>
      </c>
      <c r="K58" s="3">
        <f t="shared" si="36"/>
        <v>9</v>
      </c>
      <c r="L58" s="3">
        <f t="shared" si="36"/>
        <v>10</v>
      </c>
      <c r="M58" s="3">
        <f t="shared" si="36"/>
        <v>11</v>
      </c>
      <c r="N58" s="3">
        <f t="shared" si="36"/>
        <v>12</v>
      </c>
      <c r="O58" s="3">
        <f t="shared" si="36"/>
        <v>13</v>
      </c>
      <c r="P58" s="3">
        <f t="shared" si="36"/>
        <v>14</v>
      </c>
      <c r="Q58" s="3">
        <f t="shared" si="36"/>
        <v>15</v>
      </c>
      <c r="R58" s="3">
        <f t="shared" si="36"/>
        <v>16</v>
      </c>
      <c r="S58" s="3">
        <f t="shared" si="36"/>
        <v>17</v>
      </c>
      <c r="T58" s="3">
        <f t="shared" si="36"/>
        <v>18</v>
      </c>
      <c r="U58" s="3">
        <f t="shared" si="36"/>
        <v>19</v>
      </c>
      <c r="V58" s="3">
        <f t="shared" si="36"/>
        <v>20</v>
      </c>
      <c r="W58" s="3">
        <f t="shared" si="36"/>
        <v>21</v>
      </c>
      <c r="X58" s="3">
        <f t="shared" si="36"/>
        <v>22</v>
      </c>
      <c r="Y58" s="3">
        <f t="shared" si="36"/>
        <v>23</v>
      </c>
      <c r="Z58" s="3">
        <f t="shared" si="36"/>
        <v>24</v>
      </c>
      <c r="AA58" s="3">
        <f t="shared" si="36"/>
        <v>25</v>
      </c>
      <c r="AB58" s="3">
        <f t="shared" si="36"/>
        <v>26</v>
      </c>
      <c r="AC58" s="3">
        <f t="shared" si="36"/>
        <v>27</v>
      </c>
      <c r="AD58" s="3">
        <f t="shared" si="36"/>
        <v>28</v>
      </c>
      <c r="AE58" s="3">
        <f t="shared" si="36"/>
        <v>29</v>
      </c>
      <c r="AF58" s="3">
        <f t="shared" si="36"/>
        <v>30</v>
      </c>
      <c r="AG58" s="7" t="str">
        <f t="shared" si="36"/>
        <v/>
      </c>
      <c r="AH58" s="648">
        <f>COUNTIF(C60:AG60,AI58)</f>
        <v>0</v>
      </c>
      <c r="AI58" s="10" t="s">
        <v>6</v>
      </c>
      <c r="AJ58" s="13">
        <v>42</v>
      </c>
      <c r="AL58" s="23"/>
      <c r="AM58" s="31"/>
      <c r="AN58" s="31"/>
      <c r="AO58" s="635">
        <f>Absences268101214[[#This Row],[debut]]</f>
        <v>0</v>
      </c>
      <c r="AP58" s="13"/>
      <c r="AQ58" s="13"/>
      <c r="AR58" s="13"/>
      <c r="AS58" s="13"/>
      <c r="AT58" s="13"/>
      <c r="AU58" s="13"/>
      <c r="AV58" s="13"/>
      <c r="AW58" s="13"/>
      <c r="AX58" s="13"/>
      <c r="AY58" s="13"/>
      <c r="AZ58" s="13"/>
      <c r="BA58" s="13"/>
      <c r="BB58" s="13"/>
      <c r="BC58" s="13"/>
      <c r="BD58" s="13"/>
      <c r="BE58" s="13"/>
      <c r="BF58" s="13"/>
    </row>
    <row r="59" spans="1:75" x14ac:dyDescent="0.25">
      <c r="A59" s="655" t="s">
        <v>800</v>
      </c>
      <c r="B59" s="658">
        <f>COUNTIF(C60:AG60,A59)</f>
        <v>0</v>
      </c>
      <c r="C59" s="5">
        <f t="shared" ref="C59:AC59" si="37">IF(C56="","",WEEKDAY(C56,1))</f>
        <v>3</v>
      </c>
      <c r="D59" s="8">
        <f t="shared" si="37"/>
        <v>4</v>
      </c>
      <c r="E59" s="8">
        <f t="shared" si="37"/>
        <v>5</v>
      </c>
      <c r="F59" s="8">
        <f t="shared" si="37"/>
        <v>6</v>
      </c>
      <c r="G59" s="8">
        <f t="shared" si="37"/>
        <v>7</v>
      </c>
      <c r="H59" s="8">
        <f t="shared" si="37"/>
        <v>1</v>
      </c>
      <c r="I59" s="8">
        <f t="shared" si="37"/>
        <v>2</v>
      </c>
      <c r="J59" s="8">
        <f t="shared" si="37"/>
        <v>3</v>
      </c>
      <c r="K59" s="8">
        <f t="shared" si="37"/>
        <v>4</v>
      </c>
      <c r="L59" s="8">
        <f t="shared" si="37"/>
        <v>5</v>
      </c>
      <c r="M59" s="8">
        <f t="shared" si="37"/>
        <v>6</v>
      </c>
      <c r="N59" s="8">
        <f t="shared" si="37"/>
        <v>7</v>
      </c>
      <c r="O59" s="8">
        <f t="shared" si="37"/>
        <v>1</v>
      </c>
      <c r="P59" s="8">
        <f t="shared" si="37"/>
        <v>2</v>
      </c>
      <c r="Q59" s="8">
        <f t="shared" si="37"/>
        <v>3</v>
      </c>
      <c r="R59" s="8">
        <f t="shared" si="37"/>
        <v>4</v>
      </c>
      <c r="S59" s="8">
        <f t="shared" si="37"/>
        <v>5</v>
      </c>
      <c r="T59" s="8">
        <f t="shared" si="37"/>
        <v>6</v>
      </c>
      <c r="U59" s="8">
        <f t="shared" si="37"/>
        <v>7</v>
      </c>
      <c r="V59" s="8">
        <f t="shared" si="37"/>
        <v>1</v>
      </c>
      <c r="W59" s="8">
        <f t="shared" si="37"/>
        <v>2</v>
      </c>
      <c r="X59" s="8">
        <f t="shared" si="37"/>
        <v>3</v>
      </c>
      <c r="Y59" s="8">
        <f t="shared" si="37"/>
        <v>4</v>
      </c>
      <c r="Z59" s="8">
        <f t="shared" si="37"/>
        <v>5</v>
      </c>
      <c r="AA59" s="8">
        <f t="shared" si="37"/>
        <v>6</v>
      </c>
      <c r="AB59" s="8">
        <f t="shared" si="37"/>
        <v>7</v>
      </c>
      <c r="AC59" s="8">
        <f t="shared" si="37"/>
        <v>1</v>
      </c>
      <c r="AD59" s="8">
        <f>IF(AD56="","",WEEKDAY(AD56,1))</f>
        <v>2</v>
      </c>
      <c r="AE59" s="8">
        <f>IF(AE56="","",WEEKDAY(AE56,1))</f>
        <v>3</v>
      </c>
      <c r="AF59" s="8">
        <f t="shared" ref="AF59:AG59" si="38">IF(AF56="","",WEEKDAY(AF56,1))</f>
        <v>4</v>
      </c>
      <c r="AG59" s="9" t="str">
        <f t="shared" si="38"/>
        <v/>
      </c>
      <c r="AH59" s="648">
        <f>COUNTIF(C60:AG60,AI59)</f>
        <v>0</v>
      </c>
      <c r="AI59" s="633" t="s">
        <v>799</v>
      </c>
      <c r="AJ59" s="13">
        <v>43</v>
      </c>
      <c r="AL59" s="23"/>
      <c r="AM59" s="31"/>
      <c r="AN59" s="31"/>
      <c r="AO59" s="635">
        <f>Absences268101214[[#This Row],[debut]]</f>
        <v>0</v>
      </c>
      <c r="AP59" s="13"/>
      <c r="AQ59" s="13"/>
      <c r="AR59" s="13"/>
      <c r="AS59" s="13"/>
      <c r="AT59" s="13"/>
      <c r="AU59" s="54"/>
      <c r="AV59" s="54"/>
      <c r="AW59" s="72"/>
      <c r="AX59" s="56"/>
      <c r="AY59" s="54"/>
      <c r="AZ59" s="54"/>
      <c r="BA59" s="54"/>
      <c r="BB59" s="55"/>
      <c r="BC59" s="56"/>
      <c r="BD59" s="56"/>
      <c r="BE59" s="56"/>
      <c r="BF59" s="56"/>
    </row>
    <row r="60" spans="1:75" ht="16.5" thickBot="1" x14ac:dyDescent="0.3">
      <c r="A60" s="679" t="s">
        <v>7</v>
      </c>
      <c r="B60" s="658">
        <f>COUNTIF(C60:AG60,A60)</f>
        <v>0</v>
      </c>
      <c r="C60" s="6" t="str">
        <f t="array" ref="C60">IFERROR(INDEX($AK$17:$AN$116,MATCH(1,(C56&gt;=$AM$17:$AM$116)*($AN$17:$AN$116&gt;=C56)*($AK$17:$AK$116=$U$2),0),2),"")</f>
        <v/>
      </c>
      <c r="D60" s="3" t="str">
        <f t="array" ref="D60">IFERROR(INDEX($AK$17:$AN$116,MATCH(1,(D56&gt;=$AM$17:$AM$116)*($AN$17:$AN$116&gt;=D56)*($AK$17:$AK$116=$U$2),0),2),"")</f>
        <v/>
      </c>
      <c r="E60" s="3" t="str">
        <f t="array" ref="E60">IFERROR(INDEX($AK$17:$AN$116,MATCH(1,(E56&gt;=$AM$17:$AM$116)*($AN$17:$AN$116&gt;=E56)*($AK$17:$AK$116=$U$2),0),2),"")</f>
        <v/>
      </c>
      <c r="F60" s="3" t="str">
        <f t="array" ref="F60">IFERROR(INDEX($AK$17:$AN$116,MATCH(1,(F56&gt;=$AM$17:$AM$116)*($AN$17:$AN$116&gt;=F56)*($AK$17:$AK$116=$U$2),0),2),"")</f>
        <v/>
      </c>
      <c r="G60" s="3" t="str">
        <f t="array" ref="G60">IFERROR(INDEX($AK$17:$AN$116,MATCH(1,(G56&gt;=$AM$17:$AM$116)*($AN$17:$AN$116&gt;=G56)*($AK$17:$AK$116=$U$2),0),2),"")</f>
        <v/>
      </c>
      <c r="H60" s="3" t="str">
        <f t="array" ref="H60">IFERROR(INDEX($AK$17:$AN$116,MATCH(1,(H56&gt;=$AM$17:$AM$116)*($AN$17:$AN$116&gt;=H56)*($AK$17:$AK$116=$U$2),0),2),"")</f>
        <v/>
      </c>
      <c r="I60" s="3" t="str">
        <f t="array" ref="I60">IFERROR(INDEX($AK$17:$AN$116,MATCH(1,(I56&gt;=$AM$17:$AM$116)*($AN$17:$AN$116&gt;=I56)*($AK$17:$AK$116=$U$2),0),2),"")</f>
        <v/>
      </c>
      <c r="J60" s="3" t="str">
        <f t="array" ref="J60">IFERROR(INDEX($AK$17:$AN$116,MATCH(1,(J56&gt;=$AM$17:$AM$116)*($AN$17:$AN$116&gt;=J56)*($AK$17:$AK$116=$U$2),0),2),"")</f>
        <v/>
      </c>
      <c r="K60" s="3" t="str">
        <f t="array" ref="K60">IFERROR(INDEX($AK$17:$AN$116,MATCH(1,(K56&gt;=$AM$17:$AM$116)*($AN$17:$AN$116&gt;=K56)*($AK$17:$AK$116=$U$2),0),2),"")</f>
        <v/>
      </c>
      <c r="L60" s="3" t="str">
        <f t="array" ref="L60">IFERROR(INDEX($AK$17:$AN$116,MATCH(1,(L56&gt;=$AM$17:$AM$116)*($AN$17:$AN$116&gt;=L56)*($AK$17:$AK$116=$U$2),0),2),"")</f>
        <v/>
      </c>
      <c r="M60" s="3" t="str">
        <f t="array" ref="M60">IFERROR(INDEX($AK$17:$AN$116,MATCH(1,(M56&gt;=$AM$17:$AM$116)*($AN$17:$AN$116&gt;=M56)*($AK$17:$AK$116=$U$2),0),2),"")</f>
        <v/>
      </c>
      <c r="N60" s="3" t="str">
        <f t="array" ref="N60">IFERROR(INDEX($AK$17:$AN$116,MATCH(1,(N56&gt;=$AM$17:$AM$116)*($AN$17:$AN$116&gt;=N56)*($AK$17:$AK$116=$U$2),0),2),"")</f>
        <v/>
      </c>
      <c r="O60" s="3" t="str">
        <f t="array" ref="O60">IFERROR(INDEX($AK$17:$AN$116,MATCH(1,(O56&gt;=$AM$17:$AM$116)*($AN$17:$AN$116&gt;=O56)*($AK$17:$AK$116=$U$2),0),2),"")</f>
        <v/>
      </c>
      <c r="P60" s="3" t="str">
        <f t="array" ref="P60">IFERROR(INDEX($AK$17:$AN$116,MATCH(1,(P56&gt;=$AM$17:$AM$116)*($AN$17:$AN$116&gt;=P56)*($AK$17:$AK$116=$U$2),0),2),"")</f>
        <v/>
      </c>
      <c r="Q60" s="3" t="str">
        <f t="array" ref="Q60">IFERROR(INDEX($AK$17:$AN$116,MATCH(1,(Q56&gt;=$AM$17:$AM$116)*($AN$17:$AN$116&gt;=Q56)*($AK$17:$AK$116=$U$2),0),2),"")</f>
        <v/>
      </c>
      <c r="R60" s="3" t="str">
        <f t="array" ref="R60">IFERROR(INDEX($AK$17:$AN$116,MATCH(1,(R56&gt;=$AM$17:$AM$116)*($AN$17:$AN$116&gt;=R56)*($AK$17:$AK$116=$U$2),0),2),"")</f>
        <v/>
      </c>
      <c r="S60" s="3" t="str">
        <f t="array" ref="S60">IFERROR(INDEX($AK$17:$AN$116,MATCH(1,(S56&gt;=$AM$17:$AM$116)*($AN$17:$AN$116&gt;=S56)*($AK$17:$AK$116=$U$2),0),2),"")</f>
        <v/>
      </c>
      <c r="T60" s="3" t="str">
        <f t="array" ref="T60">IFERROR(INDEX($AK$17:$AN$116,MATCH(1,(T56&gt;=$AM$17:$AM$116)*($AN$17:$AN$116&gt;=T56)*($AK$17:$AK$116=$U$2),0),2),"")</f>
        <v/>
      </c>
      <c r="U60" s="3" t="str">
        <f t="array" ref="U60">IFERROR(INDEX($AK$17:$AN$116,MATCH(1,(U56&gt;=$AM$17:$AM$116)*($AN$17:$AN$116&gt;=U56)*($AK$17:$AK$116=$U$2),0),2),"")</f>
        <v/>
      </c>
      <c r="V60" s="3" t="str">
        <f t="array" ref="V60">IFERROR(INDEX($AK$17:$AN$116,MATCH(1,(V56&gt;=$AM$17:$AM$116)*($AN$17:$AN$116&gt;=V56)*($AK$17:$AK$116=$U$2),0),2),"")</f>
        <v/>
      </c>
      <c r="W60" s="3" t="str">
        <f t="array" ref="W60">IFERROR(INDEX($AK$17:$AN$116,MATCH(1,(W56&gt;=$AM$17:$AM$116)*($AN$17:$AN$116&gt;=W56)*($AK$17:$AK$116=$U$2),0),2),"")</f>
        <v/>
      </c>
      <c r="X60" s="3" t="str">
        <f t="array" ref="X60">IFERROR(INDEX($AK$17:$AN$116,MATCH(1,(X56&gt;=$AM$17:$AM$116)*($AN$17:$AN$116&gt;=X56)*($AK$17:$AK$116=$U$2),0),2),"")</f>
        <v/>
      </c>
      <c r="Y60" s="3" t="str">
        <f t="array" ref="Y60">IFERROR(INDEX($AK$17:$AN$116,MATCH(1,(Y56&gt;=$AM$17:$AM$116)*($AN$17:$AN$116&gt;=Y56)*($AK$17:$AK$116=$U$2),0),2),"")</f>
        <v/>
      </c>
      <c r="Z60" s="3" t="str">
        <f t="array" ref="Z60">IFERROR(INDEX($AK$17:$AN$116,MATCH(1,(Z56&gt;=$AM$17:$AM$116)*($AN$17:$AN$116&gt;=Z56)*($AK$17:$AK$116=$U$2),0),2),"")</f>
        <v/>
      </c>
      <c r="AA60" s="3" t="str">
        <f t="array" ref="AA60">IFERROR(INDEX($AK$17:$AN$116,MATCH(1,(AA56&gt;=$AM$17:$AM$116)*($AN$17:$AN$116&gt;=AA56)*($AK$17:$AK$116=$U$2),0),2),"")</f>
        <v/>
      </c>
      <c r="AB60" s="3" t="str">
        <f t="array" ref="AB60">IFERROR(INDEX($AK$17:$AN$116,MATCH(1,(AB56&gt;=$AM$17:$AM$116)*($AN$17:$AN$116&gt;=AB56)*($AK$17:$AK$116=$U$2),0),2),"")</f>
        <v/>
      </c>
      <c r="AC60" s="3" t="str">
        <f t="array" ref="AC60">IFERROR(INDEX($AK$17:$AN$116,MATCH(1,(AC56&gt;=$AM$17:$AM$116)*($AN$17:$AN$116&gt;=AC56)*($AK$17:$AK$116=$U$2),0),2),"")</f>
        <v/>
      </c>
      <c r="AD60" s="3" t="str">
        <f t="array" ref="AD60">IFERROR(INDEX($AK$17:$AN$116,MATCH(1,(AD56&gt;=$AM$17:$AM$116)*($AN$17:$AN$116&gt;=AD56)*($AK$17:$AK$116=$U$2),0),2),"")</f>
        <v/>
      </c>
      <c r="AE60" s="3" t="str">
        <f t="array" ref="AE60">IFERROR(INDEX($AK$17:$AN$116,MATCH(1,(AE56&gt;=$AM$17:$AM$116)*($AN$17:$AN$116&gt;=AE56)*($AK$17:$AK$116=$U$2),0),2),"")</f>
        <v/>
      </c>
      <c r="AF60" s="3" t="str">
        <f t="array" ref="AF60">IFERROR(INDEX($AK$17:$AN$116,MATCH(1,(AF56&gt;=$AM$17:$AM$116)*($AN$17:$AN$116&gt;=AF56)*($AK$17:$AK$116=$U$2),0),2),"")</f>
        <v/>
      </c>
      <c r="AG60" s="7" t="str">
        <f t="array" ref="AG60">IFERROR(INDEX($AK$17:$AN$116,MATCH(1,(AG56&gt;=$AM$17:$AM$116)*($AN$17:$AN$116&gt;=AG56)*($AK$17:$AK$116=$U$2),0),2),"")</f>
        <v/>
      </c>
      <c r="AH60" s="648">
        <f>COUNTIF(C60:AG60,AI60)</f>
        <v>0</v>
      </c>
      <c r="AI60" s="639" t="s">
        <v>362</v>
      </c>
      <c r="AJ60" s="13">
        <v>44</v>
      </c>
      <c r="AL60" s="23"/>
      <c r="AM60" s="31"/>
      <c r="AN60" s="31"/>
      <c r="AO60" s="635">
        <f>Absences268101214[[#This Row],[debut]]</f>
        <v>0</v>
      </c>
      <c r="AP60" s="13"/>
      <c r="AQ60" s="13"/>
      <c r="AR60" s="13"/>
      <c r="AS60" s="13"/>
      <c r="AT60" s="13"/>
      <c r="AU60" s="94" t="s">
        <v>101</v>
      </c>
      <c r="AV60" s="50">
        <v>0.375</v>
      </c>
      <c r="AW60" s="50">
        <v>0.625</v>
      </c>
      <c r="AX60" s="51">
        <v>1</v>
      </c>
      <c r="AY60" s="52">
        <f>IF(AW60-AV60=0,0,(AW60-AV60)-(AX60*TIMEVALUE("00:30")))</f>
        <v>0.22916666666666666</v>
      </c>
      <c r="AZ60" s="53" t="s">
        <v>125</v>
      </c>
      <c r="BA60" s="54"/>
      <c r="BB60" s="55"/>
      <c r="BC60" s="56"/>
      <c r="BD60" s="56"/>
      <c r="BE60" s="56"/>
      <c r="BF60" s="56"/>
    </row>
    <row r="61" spans="1:75" ht="16.5" customHeight="1" thickBot="1" x14ac:dyDescent="0.3">
      <c r="A61" s="678"/>
      <c r="B61" s="40">
        <f>COUNTIF(C61:AG61,"T")</f>
        <v>0</v>
      </c>
      <c r="C61" s="41"/>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677"/>
      <c r="AI61" s="678"/>
      <c r="AJ61" s="13">
        <v>45</v>
      </c>
      <c r="AL61" s="23"/>
      <c r="AM61" s="31"/>
      <c r="AN61" s="31"/>
      <c r="AO61" s="635">
        <f>Absences268101214[[#This Row],[debut]]</f>
        <v>0</v>
      </c>
      <c r="AP61" s="13"/>
      <c r="AQ61" s="13"/>
      <c r="AR61" s="13"/>
      <c r="AS61" s="13"/>
      <c r="AT61" s="13"/>
      <c r="AU61" s="13"/>
      <c r="AV61" s="13"/>
      <c r="AW61" s="13"/>
      <c r="AX61" s="13"/>
      <c r="AY61" s="13"/>
      <c r="AZ61" s="13"/>
      <c r="BA61" s="13"/>
      <c r="BB61" s="13"/>
      <c r="BC61" s="13"/>
      <c r="BD61" s="13"/>
      <c r="BE61" s="13"/>
      <c r="BF61" s="13"/>
    </row>
    <row r="62" spans="1:75" ht="14.25" customHeight="1" x14ac:dyDescent="0.25">
      <c r="A62" s="651"/>
      <c r="B62" s="20">
        <f>DATE($C$2,MONTH(1&amp;"/"&amp;C63),1)</f>
        <v>44105</v>
      </c>
      <c r="C62" s="14">
        <f>B62</f>
        <v>44105</v>
      </c>
      <c r="D62" s="14">
        <f>IFERROR(IF(C62+1&gt;$B$63,"",C62+1),"")</f>
        <v>44106</v>
      </c>
      <c r="E62" s="14">
        <f t="shared" ref="E62:AG62" si="39">IFERROR(IF(D62+1&gt;$B$63,"",D62+1),"")</f>
        <v>44107</v>
      </c>
      <c r="F62" s="14">
        <f t="shared" si="39"/>
        <v>44108</v>
      </c>
      <c r="G62" s="14">
        <f t="shared" si="39"/>
        <v>44109</v>
      </c>
      <c r="H62" s="14">
        <f t="shared" si="39"/>
        <v>44110</v>
      </c>
      <c r="I62" s="14">
        <f t="shared" si="39"/>
        <v>44111</v>
      </c>
      <c r="J62" s="14">
        <f t="shared" si="39"/>
        <v>44112</v>
      </c>
      <c r="K62" s="14">
        <f t="shared" si="39"/>
        <v>44113</v>
      </c>
      <c r="L62" s="14">
        <f t="shared" si="39"/>
        <v>44114</v>
      </c>
      <c r="M62" s="14">
        <f t="shared" si="39"/>
        <v>44115</v>
      </c>
      <c r="N62" s="14">
        <f t="shared" si="39"/>
        <v>44116</v>
      </c>
      <c r="O62" s="14">
        <f t="shared" si="39"/>
        <v>44117</v>
      </c>
      <c r="P62" s="14">
        <f t="shared" si="39"/>
        <v>44118</v>
      </c>
      <c r="Q62" s="14">
        <f t="shared" si="39"/>
        <v>44119</v>
      </c>
      <c r="R62" s="14">
        <f t="shared" si="39"/>
        <v>44120</v>
      </c>
      <c r="S62" s="14">
        <f t="shared" si="39"/>
        <v>44121</v>
      </c>
      <c r="T62" s="14">
        <f t="shared" si="39"/>
        <v>44122</v>
      </c>
      <c r="U62" s="14">
        <f t="shared" si="39"/>
        <v>44123</v>
      </c>
      <c r="V62" s="14">
        <f t="shared" si="39"/>
        <v>44124</v>
      </c>
      <c r="W62" s="14">
        <f t="shared" si="39"/>
        <v>44125</v>
      </c>
      <c r="X62" s="14">
        <f t="shared" si="39"/>
        <v>44126</v>
      </c>
      <c r="Y62" s="14">
        <f t="shared" si="39"/>
        <v>44127</v>
      </c>
      <c r="Z62" s="14">
        <f t="shared" si="39"/>
        <v>44128</v>
      </c>
      <c r="AA62" s="14">
        <f t="shared" si="39"/>
        <v>44129</v>
      </c>
      <c r="AB62" s="14">
        <f t="shared" si="39"/>
        <v>44130</v>
      </c>
      <c r="AC62" s="14">
        <f t="shared" si="39"/>
        <v>44131</v>
      </c>
      <c r="AD62" s="14">
        <f t="shared" si="39"/>
        <v>44132</v>
      </c>
      <c r="AE62" s="14">
        <f t="shared" si="39"/>
        <v>44133</v>
      </c>
      <c r="AF62" s="14">
        <f t="shared" si="39"/>
        <v>44134</v>
      </c>
      <c r="AG62" s="14">
        <f t="shared" si="39"/>
        <v>44135</v>
      </c>
      <c r="AH62" s="647">
        <f>COUNTIF(C66:AG66,AI62)</f>
        <v>0</v>
      </c>
      <c r="AI62" s="640" t="s">
        <v>8</v>
      </c>
      <c r="AJ62" s="13">
        <v>46</v>
      </c>
      <c r="AL62" s="23"/>
      <c r="AM62" s="31"/>
      <c r="AN62" s="31"/>
      <c r="AO62" s="635">
        <f>Absences268101214[[#This Row],[debut]]</f>
        <v>0</v>
      </c>
      <c r="AP62" s="13"/>
      <c r="AQ62" s="13"/>
      <c r="AR62" s="45"/>
      <c r="AS62" s="45"/>
      <c r="AT62" s="45"/>
      <c r="AU62" s="54"/>
      <c r="AV62" s="54"/>
      <c r="AW62" s="72"/>
      <c r="AX62" s="56"/>
      <c r="AY62" s="54"/>
      <c r="AZ62" s="54"/>
      <c r="BA62" s="54"/>
      <c r="BB62" s="55"/>
      <c r="BC62" s="56"/>
      <c r="BD62" s="56"/>
      <c r="BE62" s="56"/>
      <c r="BF62" s="56"/>
    </row>
    <row r="63" spans="1:75" ht="19.5" thickBot="1" x14ac:dyDescent="0.3">
      <c r="A63" s="652"/>
      <c r="B63" s="21">
        <f>EOMONTH(B62,0)</f>
        <v>44135</v>
      </c>
      <c r="C63" s="1476" t="s">
        <v>44</v>
      </c>
      <c r="D63" s="1477"/>
      <c r="E63" s="1477"/>
      <c r="F63" s="1477"/>
      <c r="G63" s="1477"/>
      <c r="H63" s="1477"/>
      <c r="I63" s="1477"/>
      <c r="J63" s="1477"/>
      <c r="K63" s="1477"/>
      <c r="L63" s="1477"/>
      <c r="M63" s="1477"/>
      <c r="N63" s="1477"/>
      <c r="O63" s="1477"/>
      <c r="P63" s="1477"/>
      <c r="Q63" s="1477"/>
      <c r="R63" s="1477"/>
      <c r="S63" s="1477"/>
      <c r="T63" s="1477"/>
      <c r="U63" s="1477"/>
      <c r="V63" s="1477"/>
      <c r="W63" s="1477"/>
      <c r="X63" s="1477"/>
      <c r="Y63" s="1477"/>
      <c r="Z63" s="1477"/>
      <c r="AA63" s="1477"/>
      <c r="AB63" s="1477"/>
      <c r="AC63" s="1477"/>
      <c r="AD63" s="1477"/>
      <c r="AE63" s="1477"/>
      <c r="AF63" s="1477"/>
      <c r="AG63" s="1478"/>
      <c r="AH63" s="648">
        <f>COUNTIF(C66:AG66,AI63)</f>
        <v>0</v>
      </c>
      <c r="AI63" s="629" t="s">
        <v>360</v>
      </c>
      <c r="AJ63" s="13">
        <v>47</v>
      </c>
      <c r="AL63" s="23"/>
      <c r="AM63" s="31"/>
      <c r="AN63" s="31"/>
      <c r="AO63" s="635">
        <f>Absences268101214[[#This Row],[debut]]</f>
        <v>0</v>
      </c>
      <c r="AP63" s="13"/>
      <c r="AQ63" s="13"/>
      <c r="AR63" s="13"/>
      <c r="AS63" s="13"/>
      <c r="AT63" s="13"/>
      <c r="AU63" s="94" t="s">
        <v>102</v>
      </c>
      <c r="AV63" s="50">
        <v>0.58333333333333337</v>
      </c>
      <c r="AW63" s="50">
        <v>0.75</v>
      </c>
      <c r="AX63" s="51">
        <v>0</v>
      </c>
      <c r="AY63" s="52">
        <f>IF(AW63-AV63=0,0,(AW63-AV63)-(AX63*TIMEVALUE("00:30")))</f>
        <v>0.16666666666666663</v>
      </c>
      <c r="AZ63" s="53" t="s">
        <v>132</v>
      </c>
      <c r="BA63" s="54"/>
      <c r="BB63" s="55"/>
      <c r="BC63" s="56"/>
      <c r="BD63" s="56"/>
      <c r="BE63" s="56"/>
      <c r="BF63" s="56"/>
    </row>
    <row r="64" spans="1:75" x14ac:dyDescent="0.25">
      <c r="A64" s="654" t="s">
        <v>662</v>
      </c>
      <c r="B64" s="657">
        <f>COUNTIF(C66:AG66,A64)</f>
        <v>0</v>
      </c>
      <c r="C64" s="38">
        <f t="shared" ref="C64:AG64" si="40">IFERROR(DAY(C62),"")</f>
        <v>1</v>
      </c>
      <c r="D64" s="3">
        <f t="shared" si="40"/>
        <v>2</v>
      </c>
      <c r="E64" s="3">
        <f t="shared" si="40"/>
        <v>3</v>
      </c>
      <c r="F64" s="3">
        <f t="shared" si="40"/>
        <v>4</v>
      </c>
      <c r="G64" s="3">
        <f t="shared" si="40"/>
        <v>5</v>
      </c>
      <c r="H64" s="3">
        <f t="shared" si="40"/>
        <v>6</v>
      </c>
      <c r="I64" s="3">
        <f t="shared" si="40"/>
        <v>7</v>
      </c>
      <c r="J64" s="3">
        <f t="shared" si="40"/>
        <v>8</v>
      </c>
      <c r="K64" s="3">
        <f t="shared" si="40"/>
        <v>9</v>
      </c>
      <c r="L64" s="3">
        <f t="shared" si="40"/>
        <v>10</v>
      </c>
      <c r="M64" s="3">
        <f t="shared" si="40"/>
        <v>11</v>
      </c>
      <c r="N64" s="3">
        <f t="shared" si="40"/>
        <v>12</v>
      </c>
      <c r="O64" s="3">
        <f t="shared" si="40"/>
        <v>13</v>
      </c>
      <c r="P64" s="3">
        <f t="shared" si="40"/>
        <v>14</v>
      </c>
      <c r="Q64" s="3">
        <f t="shared" si="40"/>
        <v>15</v>
      </c>
      <c r="R64" s="3">
        <f t="shared" si="40"/>
        <v>16</v>
      </c>
      <c r="S64" s="3">
        <f t="shared" si="40"/>
        <v>17</v>
      </c>
      <c r="T64" s="3">
        <f t="shared" si="40"/>
        <v>18</v>
      </c>
      <c r="U64" s="3">
        <f t="shared" si="40"/>
        <v>19</v>
      </c>
      <c r="V64" s="3">
        <f t="shared" si="40"/>
        <v>20</v>
      </c>
      <c r="W64" s="3">
        <f t="shared" si="40"/>
        <v>21</v>
      </c>
      <c r="X64" s="3">
        <f t="shared" si="40"/>
        <v>22</v>
      </c>
      <c r="Y64" s="3">
        <f t="shared" si="40"/>
        <v>23</v>
      </c>
      <c r="Z64" s="3">
        <f t="shared" si="40"/>
        <v>24</v>
      </c>
      <c r="AA64" s="3">
        <f t="shared" si="40"/>
        <v>25</v>
      </c>
      <c r="AB64" s="3">
        <f t="shared" si="40"/>
        <v>26</v>
      </c>
      <c r="AC64" s="3">
        <f t="shared" si="40"/>
        <v>27</v>
      </c>
      <c r="AD64" s="3">
        <f t="shared" si="40"/>
        <v>28</v>
      </c>
      <c r="AE64" s="3">
        <f t="shared" si="40"/>
        <v>29</v>
      </c>
      <c r="AF64" s="3">
        <f t="shared" si="40"/>
        <v>30</v>
      </c>
      <c r="AG64" s="7">
        <f t="shared" si="40"/>
        <v>31</v>
      </c>
      <c r="AH64" s="648">
        <f>COUNTIF(C66:AG66,AI64)</f>
        <v>0</v>
      </c>
      <c r="AI64" s="10" t="s">
        <v>6</v>
      </c>
      <c r="AJ64" s="13">
        <v>48</v>
      </c>
      <c r="AL64" s="23"/>
      <c r="AM64" s="31"/>
      <c r="AN64" s="31"/>
      <c r="AO64" s="635">
        <f>Absences268101214[[#This Row],[debut]]</f>
        <v>0</v>
      </c>
      <c r="AP64" s="13"/>
      <c r="AQ64" s="13"/>
      <c r="AR64" s="13"/>
      <c r="AS64" s="13"/>
      <c r="AT64" s="13"/>
      <c r="AU64" s="57"/>
      <c r="AV64" s="57"/>
      <c r="AW64" s="69"/>
      <c r="AY64" s="54"/>
      <c r="AZ64" s="54"/>
      <c r="BA64" s="54"/>
      <c r="BB64" s="55"/>
      <c r="BC64" s="56"/>
      <c r="BD64" s="56"/>
      <c r="BE64" s="56"/>
      <c r="BF64" s="56"/>
    </row>
    <row r="65" spans="1:58" ht="16.5" thickBot="1" x14ac:dyDescent="0.3">
      <c r="A65" s="655" t="s">
        <v>800</v>
      </c>
      <c r="B65" s="658">
        <f>COUNTIF(C66:AG66,A65)</f>
        <v>0</v>
      </c>
      <c r="C65" s="39">
        <f t="shared" ref="C65:AC65" si="41">IF(C62="","",WEEKDAY(C62,1))</f>
        <v>5</v>
      </c>
      <c r="D65" s="8">
        <f t="shared" si="41"/>
        <v>6</v>
      </c>
      <c r="E65" s="8">
        <f t="shared" si="41"/>
        <v>7</v>
      </c>
      <c r="F65" s="8">
        <f t="shared" si="41"/>
        <v>1</v>
      </c>
      <c r="G65" s="8">
        <f t="shared" si="41"/>
        <v>2</v>
      </c>
      <c r="H65" s="8">
        <f t="shared" si="41"/>
        <v>3</v>
      </c>
      <c r="I65" s="8">
        <f t="shared" si="41"/>
        <v>4</v>
      </c>
      <c r="J65" s="8">
        <f t="shared" si="41"/>
        <v>5</v>
      </c>
      <c r="K65" s="8">
        <f t="shared" si="41"/>
        <v>6</v>
      </c>
      <c r="L65" s="8">
        <f t="shared" si="41"/>
        <v>7</v>
      </c>
      <c r="M65" s="8">
        <f t="shared" si="41"/>
        <v>1</v>
      </c>
      <c r="N65" s="8">
        <f t="shared" si="41"/>
        <v>2</v>
      </c>
      <c r="O65" s="8">
        <f t="shared" si="41"/>
        <v>3</v>
      </c>
      <c r="P65" s="8">
        <f t="shared" si="41"/>
        <v>4</v>
      </c>
      <c r="Q65" s="8">
        <f t="shared" si="41"/>
        <v>5</v>
      </c>
      <c r="R65" s="8">
        <f t="shared" si="41"/>
        <v>6</v>
      </c>
      <c r="S65" s="8">
        <f t="shared" si="41"/>
        <v>7</v>
      </c>
      <c r="T65" s="8">
        <f t="shared" si="41"/>
        <v>1</v>
      </c>
      <c r="U65" s="8">
        <f t="shared" si="41"/>
        <v>2</v>
      </c>
      <c r="V65" s="8">
        <f t="shared" si="41"/>
        <v>3</v>
      </c>
      <c r="W65" s="8">
        <f t="shared" si="41"/>
        <v>4</v>
      </c>
      <c r="X65" s="8">
        <f t="shared" si="41"/>
        <v>5</v>
      </c>
      <c r="Y65" s="8">
        <f t="shared" si="41"/>
        <v>6</v>
      </c>
      <c r="Z65" s="8">
        <f t="shared" si="41"/>
        <v>7</v>
      </c>
      <c r="AA65" s="8">
        <f t="shared" si="41"/>
        <v>1</v>
      </c>
      <c r="AB65" s="8">
        <f t="shared" si="41"/>
        <v>2</v>
      </c>
      <c r="AC65" s="8">
        <f t="shared" si="41"/>
        <v>3</v>
      </c>
      <c r="AD65" s="8">
        <f>IF(AD62="","",WEEKDAY(AD62,1))</f>
        <v>4</v>
      </c>
      <c r="AE65" s="8">
        <f>IF(AE62="","",WEEKDAY(AE62,1))</f>
        <v>5</v>
      </c>
      <c r="AF65" s="8">
        <f t="shared" ref="AF65:AG65" si="42">IF(AF62="","",WEEKDAY(AF62,1))</f>
        <v>6</v>
      </c>
      <c r="AG65" s="9">
        <f t="shared" si="42"/>
        <v>7</v>
      </c>
      <c r="AH65" s="648">
        <f>COUNTIF(C66:AG66,AI65)</f>
        <v>0</v>
      </c>
      <c r="AI65" s="633" t="s">
        <v>799</v>
      </c>
      <c r="AJ65" s="13">
        <v>49</v>
      </c>
      <c r="AL65" s="23"/>
      <c r="AM65" s="31"/>
      <c r="AN65" s="31"/>
      <c r="AO65" s="635">
        <f>Absences268101214[[#This Row],[debut]]</f>
        <v>0</v>
      </c>
      <c r="AP65" s="13"/>
      <c r="AQ65" s="13"/>
      <c r="AR65" s="13"/>
      <c r="AS65" s="13"/>
      <c r="AT65" s="13"/>
      <c r="AU65" s="94" t="s">
        <v>103</v>
      </c>
      <c r="AV65" s="50">
        <v>0.58333333333333337</v>
      </c>
      <c r="AW65" s="50">
        <v>0.75</v>
      </c>
      <c r="AX65" s="51">
        <v>0</v>
      </c>
      <c r="AY65" s="52">
        <f>IF(AW65-AV65=0,0,(AW65-AV65)-(AX65*TIMEVALUE("00:30")))</f>
        <v>0.16666666666666663</v>
      </c>
      <c r="AZ65" s="53" t="s">
        <v>133</v>
      </c>
      <c r="BA65" s="54"/>
      <c r="BB65" s="55"/>
      <c r="BC65" s="56"/>
      <c r="BD65" s="56"/>
      <c r="BE65" s="56"/>
      <c r="BF65" s="56"/>
    </row>
    <row r="66" spans="1:58" x14ac:dyDescent="0.25">
      <c r="A66" s="679" t="s">
        <v>7</v>
      </c>
      <c r="B66" s="658">
        <f>COUNTIF(C66:AG66,A66)</f>
        <v>0</v>
      </c>
      <c r="C66" s="38" t="str">
        <f t="array" ref="C66">IFERROR(INDEX($AK$17:$AN$116,MATCH(1,(C62&gt;=$AM$17:$AM$116)*($AN$17:$AN$116&gt;=C62)*($AK$17:$AK$116=$U$2),0),2),"")</f>
        <v/>
      </c>
      <c r="D66" s="3" t="str">
        <f t="array" ref="D66">IFERROR(INDEX($AK$17:$AN$116,MATCH(1,(D62&gt;=$AM$17:$AM$116)*($AN$17:$AN$116&gt;=D62)*($AK$17:$AK$116=$U$2),0),2),"")</f>
        <v/>
      </c>
      <c r="E66" s="3" t="str">
        <f t="array" ref="E66">IFERROR(INDEX($AK$17:$AN$116,MATCH(1,(E62&gt;=$AM$17:$AM$116)*($AN$17:$AN$116&gt;=E62)*($AK$17:$AK$116=$U$2),0),2),"")</f>
        <v/>
      </c>
      <c r="F66" s="3" t="str">
        <f t="array" ref="F66">IFERROR(INDEX($AK$17:$AN$116,MATCH(1,(F62&gt;=$AM$17:$AM$116)*($AN$17:$AN$116&gt;=F62)*($AK$17:$AK$116=$U$2),0),2),"")</f>
        <v/>
      </c>
      <c r="G66" s="3" t="str">
        <f t="array" ref="G66">IFERROR(INDEX($AK$17:$AN$116,MATCH(1,(G62&gt;=$AM$17:$AM$116)*($AN$17:$AN$116&gt;=G62)*($AK$17:$AK$116=$U$2),0),2),"")</f>
        <v/>
      </c>
      <c r="H66" s="3" t="str">
        <f t="array" ref="H66">IFERROR(INDEX($AK$17:$AN$116,MATCH(1,(H62&gt;=$AM$17:$AM$116)*($AN$17:$AN$116&gt;=H62)*($AK$17:$AK$116=$U$2),0),2),"")</f>
        <v/>
      </c>
      <c r="I66" s="3" t="str">
        <f t="array" ref="I66">IFERROR(INDEX($AK$17:$AN$116,MATCH(1,(I62&gt;=$AM$17:$AM$116)*($AN$17:$AN$116&gt;=I62)*($AK$17:$AK$116=$U$2),0),2),"")</f>
        <v/>
      </c>
      <c r="J66" s="3" t="str">
        <f t="array" ref="J66">IFERROR(INDEX($AK$17:$AN$116,MATCH(1,(J62&gt;=$AM$17:$AM$116)*($AN$17:$AN$116&gt;=J62)*($AK$17:$AK$116=$U$2),0),2),"")</f>
        <v/>
      </c>
      <c r="K66" s="3" t="str">
        <f t="array" ref="K66">IFERROR(INDEX($AK$17:$AN$116,MATCH(1,(K62&gt;=$AM$17:$AM$116)*($AN$17:$AN$116&gt;=K62)*($AK$17:$AK$116=$U$2),0),2),"")</f>
        <v/>
      </c>
      <c r="L66" s="3" t="str">
        <f t="array" ref="L66">IFERROR(INDEX($AK$17:$AN$116,MATCH(1,(L62&gt;=$AM$17:$AM$116)*($AN$17:$AN$116&gt;=L62)*($AK$17:$AK$116=$U$2),0),2),"")</f>
        <v/>
      </c>
      <c r="M66" s="3" t="str">
        <f t="array" ref="M66">IFERROR(INDEX($AK$17:$AN$116,MATCH(1,(M62&gt;=$AM$17:$AM$116)*($AN$17:$AN$116&gt;=M62)*($AK$17:$AK$116=$U$2),0),2),"")</f>
        <v/>
      </c>
      <c r="N66" s="3" t="str">
        <f t="array" ref="N66">IFERROR(INDEX($AK$17:$AN$116,MATCH(1,(N62&gt;=$AM$17:$AM$116)*($AN$17:$AN$116&gt;=N62)*($AK$17:$AK$116=$U$2),0),2),"")</f>
        <v/>
      </c>
      <c r="O66" s="3" t="str">
        <f t="array" ref="O66">IFERROR(INDEX($AK$17:$AN$116,MATCH(1,(O62&gt;=$AM$17:$AM$116)*($AN$17:$AN$116&gt;=O62)*($AK$17:$AK$116=$U$2),0),2),"")</f>
        <v/>
      </c>
      <c r="P66" s="3" t="str">
        <f t="array" ref="P66">IFERROR(INDEX($AK$17:$AN$116,MATCH(1,(P62&gt;=$AM$17:$AM$116)*($AN$17:$AN$116&gt;=P62)*($AK$17:$AK$116=$U$2),0),2),"")</f>
        <v/>
      </c>
      <c r="Q66" s="3" t="str">
        <f t="array" ref="Q66">IFERROR(INDEX($AK$17:$AN$116,MATCH(1,(Q62&gt;=$AM$17:$AM$116)*($AN$17:$AN$116&gt;=Q62)*($AK$17:$AK$116=$U$2),0),2),"")</f>
        <v/>
      </c>
      <c r="R66" s="3" t="str">
        <f t="array" ref="R66">IFERROR(INDEX($AK$17:$AN$116,MATCH(1,(R62&gt;=$AM$17:$AM$116)*($AN$17:$AN$116&gt;=R62)*($AK$17:$AK$116=$U$2),0),2),"")</f>
        <v/>
      </c>
      <c r="S66" s="3" t="str">
        <f t="array" ref="S66">IFERROR(INDEX($AK$17:$AN$116,MATCH(1,(S62&gt;=$AM$17:$AM$116)*($AN$17:$AN$116&gt;=S62)*($AK$17:$AK$116=$U$2),0),2),"")</f>
        <v/>
      </c>
      <c r="T66" s="3" t="str">
        <f t="array" ref="T66">IFERROR(INDEX($AK$17:$AN$116,MATCH(1,(T62&gt;=$AM$17:$AM$116)*($AN$17:$AN$116&gt;=T62)*($AK$17:$AK$116=$U$2),0),2),"")</f>
        <v/>
      </c>
      <c r="U66" s="3" t="str">
        <f t="array" ref="U66">IFERROR(INDEX($AK$17:$AN$116,MATCH(1,(U62&gt;=$AM$17:$AM$116)*($AN$17:$AN$116&gt;=U62)*($AK$17:$AK$116=$U$2),0),2),"")</f>
        <v/>
      </c>
      <c r="V66" s="3" t="str">
        <f t="array" ref="V66">IFERROR(INDEX($AK$17:$AN$116,MATCH(1,(V62&gt;=$AM$17:$AM$116)*($AN$17:$AN$116&gt;=V62)*($AK$17:$AK$116=$U$2),0),2),"")</f>
        <v/>
      </c>
      <c r="W66" s="3" t="str">
        <f t="array" ref="W66">IFERROR(INDEX($AK$17:$AN$116,MATCH(1,(W62&gt;=$AM$17:$AM$116)*($AN$17:$AN$116&gt;=W62)*($AK$17:$AK$116=$U$2),0),2),"")</f>
        <v/>
      </c>
      <c r="X66" s="3" t="str">
        <f t="array" ref="X66">IFERROR(INDEX($AK$17:$AN$116,MATCH(1,(X62&gt;=$AM$17:$AM$116)*($AN$17:$AN$116&gt;=X62)*($AK$17:$AK$116=$U$2),0),2),"")</f>
        <v/>
      </c>
      <c r="Y66" s="3" t="str">
        <f t="array" ref="Y66">IFERROR(INDEX($AK$17:$AN$116,MATCH(1,(Y62&gt;=$AM$17:$AM$116)*($AN$17:$AN$116&gt;=Y62)*($AK$17:$AK$116=$U$2),0),2),"")</f>
        <v/>
      </c>
      <c r="Z66" s="3" t="str">
        <f t="array" ref="Z66">IFERROR(INDEX($AK$17:$AN$116,MATCH(1,(Z62&gt;=$AM$17:$AM$116)*($AN$17:$AN$116&gt;=Z62)*($AK$17:$AK$116=$U$2),0),2),"")</f>
        <v/>
      </c>
      <c r="AA66" s="3" t="str">
        <f t="array" ref="AA66">IFERROR(INDEX($AK$17:$AN$116,MATCH(1,(AA62&gt;=$AM$17:$AM$116)*($AN$17:$AN$116&gt;=AA62)*($AK$17:$AK$116=$U$2),0),2),"")</f>
        <v/>
      </c>
      <c r="AB66" s="3" t="str">
        <f t="array" ref="AB66">IFERROR(INDEX($AK$17:$AN$116,MATCH(1,(AB62&gt;=$AM$17:$AM$116)*($AN$17:$AN$116&gt;=AB62)*($AK$17:$AK$116=$U$2),0),2),"")</f>
        <v/>
      </c>
      <c r="AC66" s="3" t="str">
        <f t="array" ref="AC66">IFERROR(INDEX($AK$17:$AN$116,MATCH(1,(AC62&gt;=$AM$17:$AM$116)*($AN$17:$AN$116&gt;=AC62)*($AK$17:$AK$116=$U$2),0),2),"")</f>
        <v/>
      </c>
      <c r="AD66" s="3" t="str">
        <f t="array" ref="AD66">IFERROR(INDEX($AK$17:$AN$116,MATCH(1,(AD62&gt;=$AM$17:$AM$116)*($AN$17:$AN$116&gt;=AD62)*($AK$17:$AK$116=$U$2),0),2),"")</f>
        <v/>
      </c>
      <c r="AE66" s="3" t="str">
        <f t="array" ref="AE66">IFERROR(INDEX($AK$17:$AN$116,MATCH(1,(AE62&gt;=$AM$17:$AM$116)*($AN$17:$AN$116&gt;=AE62)*($AK$17:$AK$116=$U$2),0),2),"")</f>
        <v/>
      </c>
      <c r="AF66" s="3" t="str">
        <f t="array" ref="AF66">IFERROR(INDEX($AK$17:$AN$116,MATCH(1,(AF62&gt;=$AM$17:$AM$116)*($AN$17:$AN$116&gt;=AF62)*($AK$17:$AK$116=$U$2),0),2),"")</f>
        <v/>
      </c>
      <c r="AG66" s="7" t="str">
        <f t="array" ref="AG66">IFERROR(INDEX($AK$17:$AN$116,MATCH(1,(AG62&gt;=$AM$17:$AM$116)*($AN$17:$AN$116&gt;=AG62)*($AK$17:$AK$116=$U$2),0),2),"")</f>
        <v/>
      </c>
      <c r="AH66" s="648">
        <f>COUNTIF(C66:AG66,AI66)</f>
        <v>0</v>
      </c>
      <c r="AI66" s="639" t="s">
        <v>362</v>
      </c>
      <c r="AJ66" s="13">
        <v>50</v>
      </c>
      <c r="AL66" s="23"/>
      <c r="AM66" s="31"/>
      <c r="AN66" s="31"/>
      <c r="AO66" s="635">
        <f>Absences268101214[[#This Row],[debut]]</f>
        <v>0</v>
      </c>
      <c r="AP66" s="13"/>
      <c r="AQ66" s="13"/>
      <c r="AR66" s="13"/>
      <c r="AS66" s="13"/>
      <c r="AT66" s="13"/>
      <c r="AU66" s="73"/>
      <c r="AV66" s="59" t="s">
        <v>126</v>
      </c>
      <c r="AW66" s="55"/>
      <c r="AX66" s="60"/>
      <c r="AY66" s="52"/>
      <c r="AZ66" s="53"/>
      <c r="BA66" s="54"/>
      <c r="BB66" s="55"/>
      <c r="BC66" s="56"/>
      <c r="BD66" s="56"/>
      <c r="BE66" s="56"/>
      <c r="BF66" s="56"/>
    </row>
    <row r="67" spans="1:58" ht="16.5" customHeight="1" thickBot="1" x14ac:dyDescent="0.3">
      <c r="A67" s="678"/>
      <c r="B67" s="40">
        <f>COUNTA(C67:AG67)</f>
        <v>0</v>
      </c>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677"/>
      <c r="AI67" s="678"/>
      <c r="AJ67" s="13">
        <v>51</v>
      </c>
      <c r="AL67" s="23"/>
      <c r="AM67" s="31"/>
      <c r="AN67" s="31"/>
      <c r="AO67" s="635">
        <f>Absences268101214[[#This Row],[debut]]</f>
        <v>0</v>
      </c>
      <c r="AP67" s="13"/>
      <c r="AQ67" s="13"/>
      <c r="AR67" s="13"/>
      <c r="AS67" s="13"/>
      <c r="AT67" s="13"/>
      <c r="AU67" s="54"/>
      <c r="AV67" s="54"/>
      <c r="AW67" s="72"/>
      <c r="AX67" s="56"/>
      <c r="AY67" s="54"/>
      <c r="AZ67" s="54"/>
      <c r="BA67" s="54"/>
      <c r="BB67" s="55"/>
      <c r="BC67" s="56"/>
      <c r="BD67" s="56"/>
      <c r="BE67" s="56"/>
      <c r="BF67" s="56"/>
    </row>
    <row r="68" spans="1:58" ht="14.25" customHeight="1" thickBot="1" x14ac:dyDescent="0.3">
      <c r="A68" s="651"/>
      <c r="B68" s="20">
        <f>DATE($C$2,MONTH(1&amp;"/"&amp;C69),1)</f>
        <v>44136</v>
      </c>
      <c r="C68" s="14">
        <f>B68</f>
        <v>44136</v>
      </c>
      <c r="D68" s="14">
        <f>IFERROR(IF(C68+1&gt;$B$69,"",C68+1),"")</f>
        <v>44137</v>
      </c>
      <c r="E68" s="14">
        <f t="shared" ref="E68:AG68" si="43">IFERROR(IF(D68+1&gt;$B$69,"",D68+1),"")</f>
        <v>44138</v>
      </c>
      <c r="F68" s="14">
        <f t="shared" si="43"/>
        <v>44139</v>
      </c>
      <c r="G68" s="14">
        <f t="shared" si="43"/>
        <v>44140</v>
      </c>
      <c r="H68" s="14">
        <f t="shared" si="43"/>
        <v>44141</v>
      </c>
      <c r="I68" s="14">
        <f t="shared" si="43"/>
        <v>44142</v>
      </c>
      <c r="J68" s="14">
        <f t="shared" si="43"/>
        <v>44143</v>
      </c>
      <c r="K68" s="14">
        <f t="shared" si="43"/>
        <v>44144</v>
      </c>
      <c r="L68" s="14">
        <f t="shared" si="43"/>
        <v>44145</v>
      </c>
      <c r="M68" s="14">
        <f t="shared" si="43"/>
        <v>44146</v>
      </c>
      <c r="N68" s="14">
        <f t="shared" si="43"/>
        <v>44147</v>
      </c>
      <c r="O68" s="14">
        <f t="shared" si="43"/>
        <v>44148</v>
      </c>
      <c r="P68" s="14">
        <f t="shared" si="43"/>
        <v>44149</v>
      </c>
      <c r="Q68" s="14">
        <f t="shared" si="43"/>
        <v>44150</v>
      </c>
      <c r="R68" s="14">
        <f t="shared" si="43"/>
        <v>44151</v>
      </c>
      <c r="S68" s="14">
        <f t="shared" si="43"/>
        <v>44152</v>
      </c>
      <c r="T68" s="14">
        <f t="shared" si="43"/>
        <v>44153</v>
      </c>
      <c r="U68" s="14">
        <f t="shared" si="43"/>
        <v>44154</v>
      </c>
      <c r="V68" s="14">
        <f t="shared" si="43"/>
        <v>44155</v>
      </c>
      <c r="W68" s="14">
        <f t="shared" si="43"/>
        <v>44156</v>
      </c>
      <c r="X68" s="14">
        <f t="shared" si="43"/>
        <v>44157</v>
      </c>
      <c r="Y68" s="14">
        <f t="shared" si="43"/>
        <v>44158</v>
      </c>
      <c r="Z68" s="14">
        <f t="shared" si="43"/>
        <v>44159</v>
      </c>
      <c r="AA68" s="14">
        <f t="shared" si="43"/>
        <v>44160</v>
      </c>
      <c r="AB68" s="14">
        <f t="shared" si="43"/>
        <v>44161</v>
      </c>
      <c r="AC68" s="14">
        <f t="shared" si="43"/>
        <v>44162</v>
      </c>
      <c r="AD68" s="14">
        <f t="shared" si="43"/>
        <v>44163</v>
      </c>
      <c r="AE68" s="14">
        <f t="shared" si="43"/>
        <v>44164</v>
      </c>
      <c r="AF68" s="14">
        <f t="shared" si="43"/>
        <v>44165</v>
      </c>
      <c r="AG68" s="14" t="str">
        <f t="shared" si="43"/>
        <v/>
      </c>
      <c r="AH68" s="647">
        <f>COUNTIF(C72:AG72,AI68)</f>
        <v>0</v>
      </c>
      <c r="AI68" s="640" t="s">
        <v>8</v>
      </c>
      <c r="AJ68" s="13">
        <v>52</v>
      </c>
      <c r="AL68" s="23"/>
      <c r="AM68" s="31"/>
      <c r="AN68" s="31"/>
      <c r="AO68" s="635">
        <f>Absences268101214[[#This Row],[debut]]</f>
        <v>0</v>
      </c>
      <c r="AP68" s="13"/>
      <c r="AQ68" s="13"/>
      <c r="AR68" s="45"/>
      <c r="AS68" s="45"/>
      <c r="AT68" s="45"/>
      <c r="AU68" s="94" t="s">
        <v>104</v>
      </c>
      <c r="AV68" s="50">
        <v>0.58333333333333337</v>
      </c>
      <c r="AW68" s="50">
        <v>0.75</v>
      </c>
      <c r="AX68" s="51">
        <v>0</v>
      </c>
      <c r="AY68" s="52">
        <f>IF(AW68-AV68=0,0,(AW68-AV68)-(AX68*TIMEVALUE("00:30")))</f>
        <v>0.16666666666666663</v>
      </c>
      <c r="AZ68" s="61" t="s">
        <v>76</v>
      </c>
      <c r="BA68" s="54"/>
      <c r="BB68" s="55"/>
      <c r="BC68" s="56"/>
      <c r="BD68" s="56"/>
      <c r="BE68" s="56"/>
      <c r="BF68" s="56"/>
    </row>
    <row r="69" spans="1:58" ht="18.75" customHeight="1" x14ac:dyDescent="0.25">
      <c r="A69" s="652"/>
      <c r="B69" s="21">
        <f>EOMONTH(B68,0)</f>
        <v>44165</v>
      </c>
      <c r="C69" s="1476" t="s">
        <v>108</v>
      </c>
      <c r="D69" s="1477"/>
      <c r="E69" s="1477"/>
      <c r="F69" s="1477"/>
      <c r="G69" s="1477"/>
      <c r="H69" s="1477"/>
      <c r="I69" s="1477"/>
      <c r="J69" s="1477"/>
      <c r="K69" s="1477"/>
      <c r="L69" s="1477"/>
      <c r="M69" s="1477"/>
      <c r="N69" s="1477"/>
      <c r="O69" s="1477"/>
      <c r="P69" s="1477"/>
      <c r="Q69" s="1477"/>
      <c r="R69" s="1477"/>
      <c r="S69" s="1477"/>
      <c r="T69" s="1477"/>
      <c r="U69" s="1477"/>
      <c r="V69" s="1477"/>
      <c r="W69" s="1477"/>
      <c r="X69" s="1477"/>
      <c r="Y69" s="1477"/>
      <c r="Z69" s="1477"/>
      <c r="AA69" s="1477"/>
      <c r="AB69" s="1477"/>
      <c r="AC69" s="1477"/>
      <c r="AD69" s="1477"/>
      <c r="AE69" s="1477"/>
      <c r="AF69" s="1477"/>
      <c r="AG69" s="1478"/>
      <c r="AH69" s="648">
        <f>COUNTIF(C72:AG72,AI69)</f>
        <v>0</v>
      </c>
      <c r="AI69" s="629" t="s">
        <v>360</v>
      </c>
      <c r="AJ69" s="13">
        <v>53</v>
      </c>
      <c r="AL69" s="23"/>
      <c r="AM69" s="31"/>
      <c r="AN69" s="31"/>
      <c r="AO69" s="635">
        <f>Absences268101214[[#This Row],[debut]]</f>
        <v>0</v>
      </c>
      <c r="AP69" s="13"/>
      <c r="AQ69" s="13"/>
      <c r="AR69" s="13"/>
      <c r="AS69" s="13"/>
      <c r="AT69" s="13"/>
      <c r="AU69" s="1506" t="s">
        <v>134</v>
      </c>
      <c r="AV69" s="1506"/>
      <c r="AW69" s="1506"/>
      <c r="AX69" s="1506"/>
      <c r="AY69" s="1506"/>
      <c r="AZ69" s="1506"/>
      <c r="BA69" s="1506"/>
      <c r="BB69" s="1506"/>
      <c r="BC69" s="1506"/>
      <c r="BD69" s="1506"/>
      <c r="BE69" s="1506"/>
      <c r="BF69" s="1506"/>
    </row>
    <row r="70" spans="1:58" x14ac:dyDescent="0.25">
      <c r="A70" s="654" t="s">
        <v>662</v>
      </c>
      <c r="B70" s="657">
        <f>COUNTIF(C72:AG72,A70)</f>
        <v>0</v>
      </c>
      <c r="C70" s="38">
        <f t="shared" ref="C70:AG70" si="44">IFERROR(DAY(C68),"")</f>
        <v>1</v>
      </c>
      <c r="D70" s="3">
        <f t="shared" si="44"/>
        <v>2</v>
      </c>
      <c r="E70" s="3">
        <f t="shared" si="44"/>
        <v>3</v>
      </c>
      <c r="F70" s="3">
        <f t="shared" si="44"/>
        <v>4</v>
      </c>
      <c r="G70" s="3">
        <f t="shared" si="44"/>
        <v>5</v>
      </c>
      <c r="H70" s="3">
        <f t="shared" si="44"/>
        <v>6</v>
      </c>
      <c r="I70" s="3">
        <f t="shared" si="44"/>
        <v>7</v>
      </c>
      <c r="J70" s="3">
        <f t="shared" si="44"/>
        <v>8</v>
      </c>
      <c r="K70" s="3">
        <f t="shared" si="44"/>
        <v>9</v>
      </c>
      <c r="L70" s="3">
        <f t="shared" si="44"/>
        <v>10</v>
      </c>
      <c r="M70" s="3">
        <f t="shared" si="44"/>
        <v>11</v>
      </c>
      <c r="N70" s="3">
        <f t="shared" si="44"/>
        <v>12</v>
      </c>
      <c r="O70" s="3">
        <f t="shared" si="44"/>
        <v>13</v>
      </c>
      <c r="P70" s="3">
        <f t="shared" si="44"/>
        <v>14</v>
      </c>
      <c r="Q70" s="3">
        <f t="shared" si="44"/>
        <v>15</v>
      </c>
      <c r="R70" s="3">
        <f t="shared" si="44"/>
        <v>16</v>
      </c>
      <c r="S70" s="3">
        <f t="shared" si="44"/>
        <v>17</v>
      </c>
      <c r="T70" s="3">
        <f t="shared" si="44"/>
        <v>18</v>
      </c>
      <c r="U70" s="3">
        <f t="shared" si="44"/>
        <v>19</v>
      </c>
      <c r="V70" s="3">
        <f t="shared" si="44"/>
        <v>20</v>
      </c>
      <c r="W70" s="3">
        <f t="shared" si="44"/>
        <v>21</v>
      </c>
      <c r="X70" s="3">
        <f t="shared" si="44"/>
        <v>22</v>
      </c>
      <c r="Y70" s="3">
        <f t="shared" si="44"/>
        <v>23</v>
      </c>
      <c r="Z70" s="3">
        <f t="shared" si="44"/>
        <v>24</v>
      </c>
      <c r="AA70" s="3">
        <f t="shared" si="44"/>
        <v>25</v>
      </c>
      <c r="AB70" s="3">
        <f t="shared" si="44"/>
        <v>26</v>
      </c>
      <c r="AC70" s="3">
        <f t="shared" si="44"/>
        <v>27</v>
      </c>
      <c r="AD70" s="3">
        <f t="shared" si="44"/>
        <v>28</v>
      </c>
      <c r="AE70" s="3">
        <f t="shared" si="44"/>
        <v>29</v>
      </c>
      <c r="AF70" s="3">
        <f t="shared" si="44"/>
        <v>30</v>
      </c>
      <c r="AG70" s="7" t="str">
        <f t="shared" si="44"/>
        <v/>
      </c>
      <c r="AH70" s="648">
        <f>COUNTIF(C72:AG72,AI70)</f>
        <v>0</v>
      </c>
      <c r="AI70" s="10" t="s">
        <v>6</v>
      </c>
      <c r="AJ70" s="13">
        <v>54</v>
      </c>
      <c r="AL70" s="23"/>
      <c r="AM70" s="31"/>
      <c r="AN70" s="31"/>
      <c r="AO70" s="635">
        <f>Absences268101214[[#This Row],[debut]]</f>
        <v>0</v>
      </c>
      <c r="AP70" s="13"/>
      <c r="AQ70" s="13"/>
      <c r="AR70" s="13"/>
      <c r="AS70" s="13"/>
      <c r="AT70" s="13"/>
      <c r="AU70" s="1506"/>
      <c r="AV70" s="1506"/>
      <c r="AW70" s="1506"/>
      <c r="AX70" s="1506"/>
      <c r="AY70" s="1506"/>
      <c r="AZ70" s="1506"/>
      <c r="BA70" s="1506"/>
      <c r="BB70" s="1506"/>
      <c r="BC70" s="1506"/>
      <c r="BD70" s="1506"/>
      <c r="BE70" s="1506"/>
      <c r="BF70" s="1506"/>
    </row>
    <row r="71" spans="1:58" ht="16.5" thickBot="1" x14ac:dyDescent="0.3">
      <c r="A71" s="655" t="s">
        <v>800</v>
      </c>
      <c r="B71" s="658">
        <f>COUNTIF(C72:AG72,A71)</f>
        <v>0</v>
      </c>
      <c r="C71" s="39">
        <f t="shared" ref="C71:AC71" si="45">IF(C68="","",WEEKDAY(C68,1))</f>
        <v>1</v>
      </c>
      <c r="D71" s="8">
        <f t="shared" si="45"/>
        <v>2</v>
      </c>
      <c r="E71" s="8">
        <f t="shared" si="45"/>
        <v>3</v>
      </c>
      <c r="F71" s="8">
        <f t="shared" si="45"/>
        <v>4</v>
      </c>
      <c r="G71" s="8">
        <f t="shared" si="45"/>
        <v>5</v>
      </c>
      <c r="H71" s="8">
        <f t="shared" si="45"/>
        <v>6</v>
      </c>
      <c r="I71" s="8">
        <f t="shared" si="45"/>
        <v>7</v>
      </c>
      <c r="J71" s="8">
        <f t="shared" si="45"/>
        <v>1</v>
      </c>
      <c r="K71" s="8">
        <f t="shared" si="45"/>
        <v>2</v>
      </c>
      <c r="L71" s="8">
        <f t="shared" si="45"/>
        <v>3</v>
      </c>
      <c r="M71" s="8">
        <f t="shared" si="45"/>
        <v>4</v>
      </c>
      <c r="N71" s="8">
        <f t="shared" si="45"/>
        <v>5</v>
      </c>
      <c r="O71" s="8">
        <f t="shared" si="45"/>
        <v>6</v>
      </c>
      <c r="P71" s="8">
        <f t="shared" si="45"/>
        <v>7</v>
      </c>
      <c r="Q71" s="8">
        <f t="shared" si="45"/>
        <v>1</v>
      </c>
      <c r="R71" s="8">
        <f t="shared" si="45"/>
        <v>2</v>
      </c>
      <c r="S71" s="8">
        <f t="shared" si="45"/>
        <v>3</v>
      </c>
      <c r="T71" s="8">
        <f t="shared" si="45"/>
        <v>4</v>
      </c>
      <c r="U71" s="8">
        <f t="shared" si="45"/>
        <v>5</v>
      </c>
      <c r="V71" s="8">
        <f t="shared" si="45"/>
        <v>6</v>
      </c>
      <c r="W71" s="8">
        <f t="shared" si="45"/>
        <v>7</v>
      </c>
      <c r="X71" s="8">
        <f t="shared" si="45"/>
        <v>1</v>
      </c>
      <c r="Y71" s="8">
        <f t="shared" si="45"/>
        <v>2</v>
      </c>
      <c r="Z71" s="8">
        <f t="shared" si="45"/>
        <v>3</v>
      </c>
      <c r="AA71" s="8">
        <f t="shared" si="45"/>
        <v>4</v>
      </c>
      <c r="AB71" s="8">
        <f t="shared" si="45"/>
        <v>5</v>
      </c>
      <c r="AC71" s="8">
        <f t="shared" si="45"/>
        <v>6</v>
      </c>
      <c r="AD71" s="8">
        <f>IF(AD68="","",WEEKDAY(AD68,1))</f>
        <v>7</v>
      </c>
      <c r="AE71" s="8">
        <f>IF(AE68="","",WEEKDAY(AE68,1))</f>
        <v>1</v>
      </c>
      <c r="AF71" s="8">
        <f t="shared" ref="AF71:AG71" si="46">IF(AF68="","",WEEKDAY(AF68,1))</f>
        <v>2</v>
      </c>
      <c r="AG71" s="9" t="str">
        <f t="shared" si="46"/>
        <v/>
      </c>
      <c r="AH71" s="648">
        <f>COUNTIF(C72:AG72,AI71)</f>
        <v>0</v>
      </c>
      <c r="AI71" s="633" t="s">
        <v>799</v>
      </c>
      <c r="AJ71" s="13">
        <v>55</v>
      </c>
      <c r="AL71" s="23"/>
      <c r="AM71" s="31"/>
      <c r="AN71" s="31"/>
      <c r="AO71" s="635">
        <f>Absences268101214[[#This Row],[debut]]</f>
        <v>0</v>
      </c>
      <c r="AP71" s="13"/>
      <c r="AQ71" s="13"/>
      <c r="AR71" s="13"/>
      <c r="AS71" s="13"/>
      <c r="AT71" s="13"/>
      <c r="AU71" s="94" t="s">
        <v>105</v>
      </c>
      <c r="AV71" s="50">
        <v>0.3125</v>
      </c>
      <c r="AW71" s="50">
        <v>0.47916666666666669</v>
      </c>
      <c r="AX71" s="51">
        <v>0</v>
      </c>
      <c r="AY71" s="52">
        <f>IF(AW71-AV71=0,0,(AW71-AV71)-(AX71*TIMEVALUE("00:30")))</f>
        <v>0.16666666666666669</v>
      </c>
      <c r="AZ71" s="53" t="s">
        <v>77</v>
      </c>
      <c r="BA71" s="63"/>
      <c r="BB71" s="63"/>
      <c r="BC71" s="63"/>
      <c r="BD71" s="63"/>
      <c r="BE71" s="63"/>
      <c r="BF71" s="63"/>
    </row>
    <row r="72" spans="1:58" ht="16.5" customHeight="1" x14ac:dyDescent="0.25">
      <c r="A72" s="679" t="s">
        <v>7</v>
      </c>
      <c r="B72" s="658">
        <f>COUNTIF(C72:AG72,A72)</f>
        <v>0</v>
      </c>
      <c r="C72" s="38" t="str">
        <f t="array" ref="C72">IFERROR(INDEX($AK$17:$AN$116,MATCH(1,(C68&gt;=$AM$17:$AM$116)*($AN$17:$AN$116&gt;=C68)*($AK$17:$AK$116=$U$2),0),2),"")</f>
        <v/>
      </c>
      <c r="D72" s="3" t="str">
        <f t="array" ref="D72">IFERROR(INDEX($AK$17:$AN$116,MATCH(1,(D68&gt;=$AM$17:$AM$116)*($AN$17:$AN$116&gt;=D68)*($AK$17:$AK$116=$U$2),0),2),"")</f>
        <v/>
      </c>
      <c r="E72" s="3" t="str">
        <f t="array" ref="E72">IFERROR(INDEX($AK$17:$AN$116,MATCH(1,(E68&gt;=$AM$17:$AM$116)*($AN$17:$AN$116&gt;=E68)*($AK$17:$AK$116=$U$2),0),2),"")</f>
        <v/>
      </c>
      <c r="F72" s="3" t="str">
        <f t="array" ref="F72">IFERROR(INDEX($AK$17:$AN$116,MATCH(1,(F68&gt;=$AM$17:$AM$116)*($AN$17:$AN$116&gt;=F68)*($AK$17:$AK$116=$U$2),0),2),"")</f>
        <v/>
      </c>
      <c r="G72" s="3" t="str">
        <f t="array" ref="G72">IFERROR(INDEX($AK$17:$AN$116,MATCH(1,(G68&gt;=$AM$17:$AM$116)*($AN$17:$AN$116&gt;=G68)*($AK$17:$AK$116=$U$2),0),2),"")</f>
        <v/>
      </c>
      <c r="H72" s="3" t="str">
        <f t="array" ref="H72">IFERROR(INDEX($AK$17:$AN$116,MATCH(1,(H68&gt;=$AM$17:$AM$116)*($AN$17:$AN$116&gt;=H68)*($AK$17:$AK$116=$U$2),0),2),"")</f>
        <v/>
      </c>
      <c r="I72" s="3" t="str">
        <f t="array" ref="I72">IFERROR(INDEX($AK$17:$AN$116,MATCH(1,(I68&gt;=$AM$17:$AM$116)*($AN$17:$AN$116&gt;=I68)*($AK$17:$AK$116=$U$2),0),2),"")</f>
        <v/>
      </c>
      <c r="J72" s="3" t="str">
        <f t="array" ref="J72">IFERROR(INDEX($AK$17:$AN$116,MATCH(1,(J68&gt;=$AM$17:$AM$116)*($AN$17:$AN$116&gt;=J68)*($AK$17:$AK$116=$U$2),0),2),"")</f>
        <v/>
      </c>
      <c r="K72" s="3" t="str">
        <f t="array" ref="K72">IFERROR(INDEX($AK$17:$AN$116,MATCH(1,(K68&gt;=$AM$17:$AM$116)*($AN$17:$AN$116&gt;=K68)*($AK$17:$AK$116=$U$2),0),2),"")</f>
        <v/>
      </c>
      <c r="L72" s="3" t="str">
        <f t="array" ref="L72">IFERROR(INDEX($AK$17:$AN$116,MATCH(1,(L68&gt;=$AM$17:$AM$116)*($AN$17:$AN$116&gt;=L68)*($AK$17:$AK$116=$U$2),0),2),"")</f>
        <v/>
      </c>
      <c r="M72" s="3" t="str">
        <f t="array" ref="M72">IFERROR(INDEX($AK$17:$AN$116,MATCH(1,(M68&gt;=$AM$17:$AM$116)*($AN$17:$AN$116&gt;=M68)*($AK$17:$AK$116=$U$2),0),2),"")</f>
        <v/>
      </c>
      <c r="N72" s="3" t="str">
        <f t="array" ref="N72">IFERROR(INDEX($AK$17:$AN$116,MATCH(1,(N68&gt;=$AM$17:$AM$116)*($AN$17:$AN$116&gt;=N68)*($AK$17:$AK$116=$U$2),0),2),"")</f>
        <v/>
      </c>
      <c r="O72" s="3" t="str">
        <f t="array" ref="O72">IFERROR(INDEX($AK$17:$AN$116,MATCH(1,(O68&gt;=$AM$17:$AM$116)*($AN$17:$AN$116&gt;=O68)*($AK$17:$AK$116=$U$2),0),2),"")</f>
        <v/>
      </c>
      <c r="P72" s="3" t="str">
        <f t="array" ref="P72">IFERROR(INDEX($AK$17:$AN$116,MATCH(1,(P68&gt;=$AM$17:$AM$116)*($AN$17:$AN$116&gt;=P68)*($AK$17:$AK$116=$U$2),0),2),"")</f>
        <v/>
      </c>
      <c r="Q72" s="3" t="str">
        <f t="array" ref="Q72">IFERROR(INDEX($AK$17:$AN$116,MATCH(1,(Q68&gt;=$AM$17:$AM$116)*($AN$17:$AN$116&gt;=Q68)*($AK$17:$AK$116=$U$2),0),2),"")</f>
        <v/>
      </c>
      <c r="R72" s="3" t="str">
        <f t="array" ref="R72">IFERROR(INDEX($AK$17:$AN$116,MATCH(1,(R68&gt;=$AM$17:$AM$116)*($AN$17:$AN$116&gt;=R68)*($AK$17:$AK$116=$U$2),0),2),"")</f>
        <v/>
      </c>
      <c r="S72" s="3" t="str">
        <f t="array" ref="S72">IFERROR(INDEX($AK$17:$AN$116,MATCH(1,(S68&gt;=$AM$17:$AM$116)*($AN$17:$AN$116&gt;=S68)*($AK$17:$AK$116=$U$2),0),2),"")</f>
        <v/>
      </c>
      <c r="T72" s="3" t="str">
        <f t="array" ref="T72">IFERROR(INDEX($AK$17:$AN$116,MATCH(1,(T68&gt;=$AM$17:$AM$116)*($AN$17:$AN$116&gt;=T68)*($AK$17:$AK$116=$U$2),0),2),"")</f>
        <v/>
      </c>
      <c r="U72" s="3" t="str">
        <f t="array" ref="U72">IFERROR(INDEX($AK$17:$AN$116,MATCH(1,(U68&gt;=$AM$17:$AM$116)*($AN$17:$AN$116&gt;=U68)*($AK$17:$AK$116=$U$2),0),2),"")</f>
        <v/>
      </c>
      <c r="V72" s="3" t="str">
        <f t="array" ref="V72">IFERROR(INDEX($AK$17:$AN$116,MATCH(1,(V68&gt;=$AM$17:$AM$116)*($AN$17:$AN$116&gt;=V68)*($AK$17:$AK$116=$U$2),0),2),"")</f>
        <v/>
      </c>
      <c r="W72" s="3" t="str">
        <f t="array" ref="W72">IFERROR(INDEX($AK$17:$AN$116,MATCH(1,(W68&gt;=$AM$17:$AM$116)*($AN$17:$AN$116&gt;=W68)*($AK$17:$AK$116=$U$2),0),2),"")</f>
        <v/>
      </c>
      <c r="X72" s="3" t="str">
        <f t="array" ref="X72">IFERROR(INDEX($AK$17:$AN$116,MATCH(1,(X68&gt;=$AM$17:$AM$116)*($AN$17:$AN$116&gt;=X68)*($AK$17:$AK$116=$U$2),0),2),"")</f>
        <v/>
      </c>
      <c r="Y72" s="3" t="str">
        <f t="array" ref="Y72">IFERROR(INDEX($AK$17:$AN$116,MATCH(1,(Y68&gt;=$AM$17:$AM$116)*($AN$17:$AN$116&gt;=Y68)*($AK$17:$AK$116=$U$2),0),2),"")</f>
        <v/>
      </c>
      <c r="Z72" s="3" t="str">
        <f t="array" ref="Z72">IFERROR(INDEX($AK$17:$AN$116,MATCH(1,(Z68&gt;=$AM$17:$AM$116)*($AN$17:$AN$116&gt;=Z68)*($AK$17:$AK$116=$U$2),0),2),"")</f>
        <v/>
      </c>
      <c r="AA72" s="3" t="str">
        <f t="array" ref="AA72">IFERROR(INDEX($AK$17:$AN$116,MATCH(1,(AA68&gt;=$AM$17:$AM$116)*($AN$17:$AN$116&gt;=AA68)*($AK$17:$AK$116=$U$2),0),2),"")</f>
        <v/>
      </c>
      <c r="AB72" s="3" t="str">
        <f t="array" ref="AB72">IFERROR(INDEX($AK$17:$AN$116,MATCH(1,(AB68&gt;=$AM$17:$AM$116)*($AN$17:$AN$116&gt;=AB68)*($AK$17:$AK$116=$U$2),0),2),"")</f>
        <v/>
      </c>
      <c r="AC72" s="3" t="str">
        <f t="array" ref="AC72">IFERROR(INDEX($AK$17:$AN$116,MATCH(1,(AC68&gt;=$AM$17:$AM$116)*($AN$17:$AN$116&gt;=AC68)*($AK$17:$AK$116=$U$2),0),2),"")</f>
        <v/>
      </c>
      <c r="AD72" s="3" t="str">
        <f t="array" ref="AD72">IFERROR(INDEX($AK$17:$AN$116,MATCH(1,(AD68&gt;=$AM$17:$AM$116)*($AN$17:$AN$116&gt;=AD68)*($AK$17:$AK$116=$U$2),0),2),"")</f>
        <v/>
      </c>
      <c r="AE72" s="3" t="str">
        <f t="array" ref="AE72">IFERROR(INDEX($AK$17:$AN$116,MATCH(1,(AE68&gt;=$AM$17:$AM$116)*($AN$17:$AN$116&gt;=AE68)*($AK$17:$AK$116=$U$2),0),2),"")</f>
        <v/>
      </c>
      <c r="AF72" s="3" t="str">
        <f t="array" ref="AF72">IFERROR(INDEX($AK$17:$AN$116,MATCH(1,(AF68&gt;=$AM$17:$AM$116)*($AN$17:$AN$116&gt;=AF68)*($AK$17:$AK$116=$U$2),0),2),"")</f>
        <v/>
      </c>
      <c r="AG72" s="7" t="str">
        <f t="array" ref="AG72">IFERROR(INDEX($AK$17:$AN$116,MATCH(1,(AG68&gt;=$AM$17:$AM$116)*($AN$17:$AN$116&gt;=AG68)*($AK$17:$AK$116=$U$2),0),2),"")</f>
        <v/>
      </c>
      <c r="AH72" s="648">
        <f>COUNTIF(C72:AG72,AI72)</f>
        <v>0</v>
      </c>
      <c r="AI72" s="639" t="s">
        <v>362</v>
      </c>
      <c r="AJ72" s="13">
        <v>56</v>
      </c>
      <c r="AL72" s="23"/>
      <c r="AM72" s="31"/>
      <c r="AN72" s="31"/>
      <c r="AO72" s="635">
        <f>Absences268101214[[#This Row],[debut]]</f>
        <v>0</v>
      </c>
      <c r="AP72" s="13"/>
      <c r="AU72"/>
      <c r="AV72"/>
      <c r="AW72"/>
      <c r="AX72"/>
      <c r="AY72"/>
      <c r="AZ72"/>
      <c r="BA72"/>
      <c r="BB72"/>
      <c r="BC72"/>
      <c r="BD72"/>
      <c r="BE72"/>
      <c r="BF72"/>
    </row>
    <row r="73" spans="1:58" ht="16.5" thickBot="1" x14ac:dyDescent="0.3">
      <c r="A73" s="678"/>
      <c r="B73" s="40">
        <f>COUNTA(C73:AG73)</f>
        <v>0</v>
      </c>
      <c r="C73" s="41"/>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677"/>
      <c r="AI73" s="678"/>
      <c r="AJ73" s="13">
        <v>57</v>
      </c>
      <c r="AL73" s="23"/>
      <c r="AM73" s="31"/>
      <c r="AN73" s="31"/>
      <c r="AO73" s="635">
        <f>Absences268101214[[#This Row],[debut]]</f>
        <v>0</v>
      </c>
      <c r="AP73" s="13"/>
      <c r="AQ73" s="57"/>
      <c r="AR73" s="57"/>
      <c r="AS73" s="57"/>
      <c r="AT73" s="57"/>
      <c r="AU73" s="682"/>
      <c r="AV73" s="682"/>
      <c r="AW73" s="682"/>
      <c r="AX73" s="682"/>
      <c r="AY73" s="682"/>
      <c r="AZ73" s="682"/>
      <c r="BA73" s="682"/>
      <c r="BB73" s="682"/>
      <c r="BC73" s="682"/>
      <c r="BD73" s="682"/>
      <c r="BE73" s="682"/>
      <c r="BF73" s="682"/>
    </row>
    <row r="74" spans="1:58" ht="14.25" customHeight="1" x14ac:dyDescent="0.25">
      <c r="A74" s="651"/>
      <c r="B74" s="20">
        <f>DATE($C$2,MONTH(1&amp;"/"&amp;C75),1)</f>
        <v>44166</v>
      </c>
      <c r="C74" s="14">
        <f>B74</f>
        <v>44166</v>
      </c>
      <c r="D74" s="14">
        <f>IFERROR(IF(C74+1&gt;$B$75,"",C74+1),"")</f>
        <v>44167</v>
      </c>
      <c r="E74" s="14">
        <f t="shared" ref="E74:AG74" si="47">IFERROR(IF(D74+1&gt;$B$75,"",D74+1),"")</f>
        <v>44168</v>
      </c>
      <c r="F74" s="14">
        <f t="shared" si="47"/>
        <v>44169</v>
      </c>
      <c r="G74" s="14">
        <f t="shared" si="47"/>
        <v>44170</v>
      </c>
      <c r="H74" s="14">
        <f t="shared" si="47"/>
        <v>44171</v>
      </c>
      <c r="I74" s="14">
        <f t="shared" si="47"/>
        <v>44172</v>
      </c>
      <c r="J74" s="14">
        <f t="shared" si="47"/>
        <v>44173</v>
      </c>
      <c r="K74" s="14">
        <f t="shared" si="47"/>
        <v>44174</v>
      </c>
      <c r="L74" s="14">
        <f t="shared" si="47"/>
        <v>44175</v>
      </c>
      <c r="M74" s="14">
        <f t="shared" si="47"/>
        <v>44176</v>
      </c>
      <c r="N74" s="14">
        <f t="shared" si="47"/>
        <v>44177</v>
      </c>
      <c r="O74" s="14">
        <f t="shared" si="47"/>
        <v>44178</v>
      </c>
      <c r="P74" s="14">
        <f t="shared" si="47"/>
        <v>44179</v>
      </c>
      <c r="Q74" s="14">
        <f t="shared" si="47"/>
        <v>44180</v>
      </c>
      <c r="R74" s="14">
        <f t="shared" si="47"/>
        <v>44181</v>
      </c>
      <c r="S74" s="14">
        <f t="shared" si="47"/>
        <v>44182</v>
      </c>
      <c r="T74" s="14">
        <f t="shared" si="47"/>
        <v>44183</v>
      </c>
      <c r="U74" s="14">
        <f t="shared" si="47"/>
        <v>44184</v>
      </c>
      <c r="V74" s="14">
        <f t="shared" si="47"/>
        <v>44185</v>
      </c>
      <c r="W74" s="14">
        <f t="shared" si="47"/>
        <v>44186</v>
      </c>
      <c r="X74" s="14">
        <f t="shared" si="47"/>
        <v>44187</v>
      </c>
      <c r="Y74" s="14">
        <f t="shared" si="47"/>
        <v>44188</v>
      </c>
      <c r="Z74" s="14">
        <f t="shared" si="47"/>
        <v>44189</v>
      </c>
      <c r="AA74" s="14">
        <f t="shared" si="47"/>
        <v>44190</v>
      </c>
      <c r="AB74" s="14">
        <f t="shared" si="47"/>
        <v>44191</v>
      </c>
      <c r="AC74" s="14">
        <f t="shared" si="47"/>
        <v>44192</v>
      </c>
      <c r="AD74" s="14">
        <f t="shared" si="47"/>
        <v>44193</v>
      </c>
      <c r="AE74" s="14">
        <f t="shared" si="47"/>
        <v>44194</v>
      </c>
      <c r="AF74" s="14">
        <f t="shared" si="47"/>
        <v>44195</v>
      </c>
      <c r="AG74" s="14">
        <f t="shared" si="47"/>
        <v>44196</v>
      </c>
      <c r="AH74" s="647">
        <f>COUNTIF(C78:AG78,AI74)</f>
        <v>0</v>
      </c>
      <c r="AI74" s="640" t="s">
        <v>8</v>
      </c>
      <c r="AJ74" s="13">
        <v>58</v>
      </c>
      <c r="AL74" s="23"/>
      <c r="AM74" s="31"/>
      <c r="AN74" s="31"/>
      <c r="AO74" s="635">
        <f>Absences268101214[[#This Row],[debut]]</f>
        <v>0</v>
      </c>
      <c r="AP74" s="13"/>
      <c r="AQ74" s="64"/>
      <c r="AR74" s="64"/>
      <c r="AS74" s="64"/>
      <c r="AT74" s="64"/>
      <c r="AU74" s="1499" t="s">
        <v>558</v>
      </c>
      <c r="AV74" s="1499"/>
      <c r="AW74" s="1499"/>
      <c r="AX74" s="1499"/>
      <c r="AY74" s="1499"/>
      <c r="AZ74" s="1499"/>
      <c r="BA74" s="1499"/>
      <c r="BB74" s="1499"/>
      <c r="BC74" s="56"/>
      <c r="BD74" s="56"/>
      <c r="BE74" s="56"/>
      <c r="BF74" s="56"/>
    </row>
    <row r="75" spans="1:58" ht="21.75" thickBot="1" x14ac:dyDescent="0.4">
      <c r="A75" s="652"/>
      <c r="B75" s="21">
        <f>EOMONTH(B74,0)</f>
        <v>44196</v>
      </c>
      <c r="C75" s="1476" t="s">
        <v>51</v>
      </c>
      <c r="D75" s="1477"/>
      <c r="E75" s="1477"/>
      <c r="F75" s="1477"/>
      <c r="G75" s="1477"/>
      <c r="H75" s="1477"/>
      <c r="I75" s="1477"/>
      <c r="J75" s="1477"/>
      <c r="K75" s="1477"/>
      <c r="L75" s="1477"/>
      <c r="M75" s="1477"/>
      <c r="N75" s="1477"/>
      <c r="O75" s="1477"/>
      <c r="P75" s="1477"/>
      <c r="Q75" s="1477"/>
      <c r="R75" s="1477"/>
      <c r="S75" s="1477"/>
      <c r="T75" s="1477"/>
      <c r="U75" s="1477"/>
      <c r="V75" s="1477"/>
      <c r="W75" s="1477"/>
      <c r="X75" s="1477"/>
      <c r="Y75" s="1477"/>
      <c r="Z75" s="1477"/>
      <c r="AA75" s="1477"/>
      <c r="AB75" s="1477"/>
      <c r="AC75" s="1477"/>
      <c r="AD75" s="1477"/>
      <c r="AE75" s="1477"/>
      <c r="AF75" s="1477"/>
      <c r="AG75" s="1478"/>
      <c r="AH75" s="648">
        <f>COUNTIF(C78:AG78,AI75)</f>
        <v>0</v>
      </c>
      <c r="AI75" s="629" t="s">
        <v>360</v>
      </c>
      <c r="AJ75" s="13">
        <v>59</v>
      </c>
      <c r="AL75" s="23"/>
      <c r="AM75" s="31"/>
      <c r="AN75" s="31"/>
      <c r="AO75" s="635">
        <f>Absences268101214[[#This Row],[debut]]</f>
        <v>0</v>
      </c>
      <c r="AP75" s="13"/>
      <c r="AQ75" s="58"/>
      <c r="AR75" s="58"/>
      <c r="AS75" s="58"/>
      <c r="AT75" s="58"/>
      <c r="AU75" s="958" t="s">
        <v>921</v>
      </c>
      <c r="AV75" s="56"/>
      <c r="AW75" s="56"/>
      <c r="AX75" s="56"/>
      <c r="AY75" s="56"/>
      <c r="AZ75" s="56"/>
      <c r="BA75" s="56"/>
      <c r="BB75" s="56"/>
      <c r="BC75" s="56"/>
      <c r="BD75" s="56"/>
      <c r="BE75" s="56"/>
      <c r="BF75" s="56"/>
    </row>
    <row r="76" spans="1:58" ht="20.25" x14ac:dyDescent="0.25">
      <c r="A76" s="654" t="s">
        <v>662</v>
      </c>
      <c r="B76" s="657">
        <f>COUNTIF(C78:AG78,A76)</f>
        <v>0</v>
      </c>
      <c r="C76" s="6">
        <f t="shared" ref="C76:AG76" si="48">IFERROR(DAY(C74),"")</f>
        <v>1</v>
      </c>
      <c r="D76" s="3">
        <f t="shared" si="48"/>
        <v>2</v>
      </c>
      <c r="E76" s="3">
        <f t="shared" si="48"/>
        <v>3</v>
      </c>
      <c r="F76" s="3">
        <f t="shared" si="48"/>
        <v>4</v>
      </c>
      <c r="G76" s="3">
        <f t="shared" si="48"/>
        <v>5</v>
      </c>
      <c r="H76" s="3">
        <f t="shared" si="48"/>
        <v>6</v>
      </c>
      <c r="I76" s="3">
        <f t="shared" si="48"/>
        <v>7</v>
      </c>
      <c r="J76" s="3">
        <f t="shared" si="48"/>
        <v>8</v>
      </c>
      <c r="K76" s="3">
        <f t="shared" si="48"/>
        <v>9</v>
      </c>
      <c r="L76" s="3">
        <f t="shared" si="48"/>
        <v>10</v>
      </c>
      <c r="M76" s="3">
        <f t="shared" si="48"/>
        <v>11</v>
      </c>
      <c r="N76" s="3">
        <f t="shared" si="48"/>
        <v>12</v>
      </c>
      <c r="O76" s="3">
        <f t="shared" si="48"/>
        <v>13</v>
      </c>
      <c r="P76" s="3">
        <f t="shared" si="48"/>
        <v>14</v>
      </c>
      <c r="Q76" s="3">
        <f t="shared" si="48"/>
        <v>15</v>
      </c>
      <c r="R76" s="3">
        <f t="shared" si="48"/>
        <v>16</v>
      </c>
      <c r="S76" s="3">
        <f t="shared" si="48"/>
        <v>17</v>
      </c>
      <c r="T76" s="3">
        <f t="shared" si="48"/>
        <v>18</v>
      </c>
      <c r="U76" s="3">
        <f t="shared" si="48"/>
        <v>19</v>
      </c>
      <c r="V76" s="3">
        <f t="shared" si="48"/>
        <v>20</v>
      </c>
      <c r="W76" s="3">
        <f t="shared" si="48"/>
        <v>21</v>
      </c>
      <c r="X76" s="3">
        <f t="shared" si="48"/>
        <v>22</v>
      </c>
      <c r="Y76" s="3">
        <f t="shared" si="48"/>
        <v>23</v>
      </c>
      <c r="Z76" s="3">
        <f t="shared" si="48"/>
        <v>24</v>
      </c>
      <c r="AA76" s="3">
        <f t="shared" si="48"/>
        <v>25</v>
      </c>
      <c r="AB76" s="3">
        <f t="shared" si="48"/>
        <v>26</v>
      </c>
      <c r="AC76" s="3">
        <f t="shared" si="48"/>
        <v>27</v>
      </c>
      <c r="AD76" s="3">
        <f t="shared" si="48"/>
        <v>28</v>
      </c>
      <c r="AE76" s="3">
        <f t="shared" si="48"/>
        <v>29</v>
      </c>
      <c r="AF76" s="3">
        <f t="shared" si="48"/>
        <v>30</v>
      </c>
      <c r="AG76" s="7">
        <f t="shared" si="48"/>
        <v>31</v>
      </c>
      <c r="AH76" s="648">
        <f>COUNTIF(C78:AG78,AI76)</f>
        <v>0</v>
      </c>
      <c r="AI76" s="10" t="s">
        <v>6</v>
      </c>
      <c r="AJ76" s="13">
        <v>60</v>
      </c>
      <c r="AL76" s="23"/>
      <c r="AM76" s="31"/>
      <c r="AN76" s="31"/>
      <c r="AO76" s="635">
        <f>Absences268101214[[#This Row],[debut]]</f>
        <v>0</v>
      </c>
      <c r="AP76" s="13"/>
      <c r="AU76" s="955" t="s">
        <v>559</v>
      </c>
      <c r="AV76" s="956"/>
      <c r="AW76" s="956"/>
      <c r="AX76" s="956"/>
      <c r="AY76" s="956"/>
      <c r="AZ76" s="956"/>
      <c r="BA76" s="956"/>
      <c r="BB76" s="957"/>
      <c r="BC76" s="56"/>
      <c r="BD76" s="56"/>
      <c r="BE76" s="56"/>
      <c r="BF76" s="56"/>
    </row>
    <row r="77" spans="1:58" ht="16.5" customHeight="1" x14ac:dyDescent="0.35">
      <c r="A77" s="655" t="s">
        <v>800</v>
      </c>
      <c r="B77" s="658">
        <f>COUNTIF(C78:AG78,A77)</f>
        <v>0</v>
      </c>
      <c r="C77" s="5">
        <f t="shared" ref="C77:AC77" si="49">IF(C74="","",WEEKDAY(C74,1))</f>
        <v>3</v>
      </c>
      <c r="D77" s="8">
        <f t="shared" si="49"/>
        <v>4</v>
      </c>
      <c r="E77" s="8">
        <f t="shared" si="49"/>
        <v>5</v>
      </c>
      <c r="F77" s="8">
        <f t="shared" si="49"/>
        <v>6</v>
      </c>
      <c r="G77" s="8">
        <f t="shared" si="49"/>
        <v>7</v>
      </c>
      <c r="H77" s="8">
        <f t="shared" si="49"/>
        <v>1</v>
      </c>
      <c r="I77" s="8">
        <f t="shared" si="49"/>
        <v>2</v>
      </c>
      <c r="J77" s="8">
        <f t="shared" si="49"/>
        <v>3</v>
      </c>
      <c r="K77" s="8">
        <f t="shared" si="49"/>
        <v>4</v>
      </c>
      <c r="L77" s="8">
        <f t="shared" si="49"/>
        <v>5</v>
      </c>
      <c r="M77" s="8">
        <f t="shared" si="49"/>
        <v>6</v>
      </c>
      <c r="N77" s="8">
        <f t="shared" si="49"/>
        <v>7</v>
      </c>
      <c r="O77" s="8">
        <f t="shared" si="49"/>
        <v>1</v>
      </c>
      <c r="P77" s="8">
        <f t="shared" si="49"/>
        <v>2</v>
      </c>
      <c r="Q77" s="8">
        <f t="shared" si="49"/>
        <v>3</v>
      </c>
      <c r="R77" s="8">
        <f t="shared" si="49"/>
        <v>4</v>
      </c>
      <c r="S77" s="8">
        <f t="shared" si="49"/>
        <v>5</v>
      </c>
      <c r="T77" s="8">
        <f t="shared" si="49"/>
        <v>6</v>
      </c>
      <c r="U77" s="8">
        <f t="shared" si="49"/>
        <v>7</v>
      </c>
      <c r="V77" s="8">
        <f t="shared" si="49"/>
        <v>1</v>
      </c>
      <c r="W77" s="8">
        <f t="shared" si="49"/>
        <v>2</v>
      </c>
      <c r="X77" s="8">
        <f t="shared" si="49"/>
        <v>3</v>
      </c>
      <c r="Y77" s="8">
        <f t="shared" si="49"/>
        <v>4</v>
      </c>
      <c r="Z77" s="8">
        <f t="shared" si="49"/>
        <v>5</v>
      </c>
      <c r="AA77" s="8">
        <f t="shared" si="49"/>
        <v>6</v>
      </c>
      <c r="AB77" s="8">
        <f t="shared" si="49"/>
        <v>7</v>
      </c>
      <c r="AC77" s="8">
        <f t="shared" si="49"/>
        <v>1</v>
      </c>
      <c r="AD77" s="8">
        <f>IF(AD74="","",WEEKDAY(AD74,1))</f>
        <v>2</v>
      </c>
      <c r="AE77" s="8">
        <f>IF(AE74="","",WEEKDAY(AE74,1))</f>
        <v>3</v>
      </c>
      <c r="AF77" s="8">
        <f t="shared" ref="AF77:AG77" si="50">IF(AF74="","",WEEKDAY(AF74,1))</f>
        <v>4</v>
      </c>
      <c r="AG77" s="9">
        <f t="shared" si="50"/>
        <v>5</v>
      </c>
      <c r="AH77" s="648">
        <f>COUNTIF(C78:AG78,AI77)</f>
        <v>0</v>
      </c>
      <c r="AI77" s="633" t="s">
        <v>799</v>
      </c>
      <c r="AJ77" s="13">
        <v>61</v>
      </c>
      <c r="AL77" s="23"/>
      <c r="AM77" s="31"/>
      <c r="AN77" s="31"/>
      <c r="AO77" s="635">
        <f>Absences268101214[[#This Row],[debut]]</f>
        <v>0</v>
      </c>
      <c r="AP77" s="13"/>
      <c r="AU77" s="950" t="s">
        <v>560</v>
      </c>
      <c r="AV77" s="951" t="s">
        <v>561</v>
      </c>
      <c r="AW77" s="951" t="s">
        <v>562</v>
      </c>
      <c r="AX77" s="952"/>
      <c r="AY77" s="951" t="s">
        <v>563</v>
      </c>
      <c r="AZ77" s="951" t="s">
        <v>564</v>
      </c>
      <c r="BA77" s="953" t="s">
        <v>565</v>
      </c>
      <c r="BB77" s="954" t="s">
        <v>566</v>
      </c>
      <c r="BC77" s="56"/>
      <c r="BD77" s="56"/>
      <c r="BE77" s="56"/>
      <c r="BF77" s="56"/>
    </row>
    <row r="78" spans="1:58" ht="16.5" customHeight="1" x14ac:dyDescent="0.4">
      <c r="A78" s="679" t="s">
        <v>7</v>
      </c>
      <c r="B78" s="658">
        <f>COUNTIF(C78:AG78,A78)</f>
        <v>0</v>
      </c>
      <c r="C78" s="3" t="str">
        <f t="array" ref="C78">IFERROR(INDEX($AK$17:$AN$116,MATCH(1,(C74&gt;=$AM$17:$AM$116)*($AN$17:$AN$116&gt;=C74)*($AK$17:$AK$116=$U$2),0),2),"")</f>
        <v/>
      </c>
      <c r="D78" s="3" t="str">
        <f t="array" ref="D78">IFERROR(INDEX($AK$17:$AN$116,MATCH(1,(D74&gt;=$AM$17:$AM$116)*($AN$17:$AN$116&gt;=D74)*($AK$17:$AK$116=$U$2),0),2),"")</f>
        <v/>
      </c>
      <c r="E78" s="3" t="str">
        <f t="array" ref="E78">IFERROR(INDEX($AK$17:$AN$116,MATCH(1,(E74&gt;=$AM$17:$AM$116)*($AN$17:$AN$116&gt;=E74)*($AK$17:$AK$116=$U$2),0),2),"")</f>
        <v/>
      </c>
      <c r="F78" s="3" t="str">
        <f t="array" ref="F78">IFERROR(INDEX($AK$17:$AN$116,MATCH(1,(F74&gt;=$AM$17:$AM$116)*($AN$17:$AN$116&gt;=F74)*($AK$17:$AK$116=$U$2),0),2),"")</f>
        <v/>
      </c>
      <c r="G78" s="3" t="str">
        <f t="array" ref="G78">IFERROR(INDEX($AK$17:$AN$116,MATCH(1,(G74&gt;=$AM$17:$AM$116)*($AN$17:$AN$116&gt;=G74)*($AK$17:$AK$116=$U$2),0),2),"")</f>
        <v/>
      </c>
      <c r="H78" s="3" t="str">
        <f t="array" ref="H78">IFERROR(INDEX($AK$17:$AN$116,MATCH(1,(H74&gt;=$AM$17:$AM$116)*($AN$17:$AN$116&gt;=H74)*($AK$17:$AK$116=$U$2),0),2),"")</f>
        <v/>
      </c>
      <c r="I78" s="3" t="str">
        <f t="array" ref="I78">IFERROR(INDEX($AK$17:$AN$116,MATCH(1,(I74&gt;=$AM$17:$AM$116)*($AN$17:$AN$116&gt;=I74)*($AK$17:$AK$116=$U$2),0),2),"")</f>
        <v/>
      </c>
      <c r="J78" s="3" t="str">
        <f t="array" ref="J78">IFERROR(INDEX($AK$17:$AN$116,MATCH(1,(J74&gt;=$AM$17:$AM$116)*($AN$17:$AN$116&gt;=J74)*($AK$17:$AK$116=$U$2),0),2),"")</f>
        <v/>
      </c>
      <c r="K78" s="3" t="str">
        <f t="array" ref="K78">IFERROR(INDEX($AK$17:$AN$116,MATCH(1,(K74&gt;=$AM$17:$AM$116)*($AN$17:$AN$116&gt;=K74)*($AK$17:$AK$116=$U$2),0),2),"")</f>
        <v/>
      </c>
      <c r="L78" s="3" t="str">
        <f t="array" ref="L78">IFERROR(INDEX($AK$17:$AN$116,MATCH(1,(L74&gt;=$AM$17:$AM$116)*($AN$17:$AN$116&gt;=L74)*($AK$17:$AK$116=$U$2),0),2),"")</f>
        <v/>
      </c>
      <c r="M78" s="3" t="str">
        <f t="array" ref="M78">IFERROR(INDEX($AK$17:$AN$116,MATCH(1,(M74&gt;=$AM$17:$AM$116)*($AN$17:$AN$116&gt;=M74)*($AK$17:$AK$116=$U$2),0),2),"")</f>
        <v/>
      </c>
      <c r="N78" s="3" t="str">
        <f t="array" ref="N78">IFERROR(INDEX($AK$17:$AN$116,MATCH(1,(N74&gt;=$AM$17:$AM$116)*($AN$17:$AN$116&gt;=N74)*($AK$17:$AK$116=$U$2),0),2),"")</f>
        <v/>
      </c>
      <c r="O78" s="3" t="str">
        <f t="array" ref="O78">IFERROR(INDEX($AK$17:$AN$116,MATCH(1,(O74&gt;=$AM$17:$AM$116)*($AN$17:$AN$116&gt;=O74)*($AK$17:$AK$116=$U$2),0),2),"")</f>
        <v/>
      </c>
      <c r="P78" s="3" t="str">
        <f t="array" ref="P78">IFERROR(INDEX($AK$17:$AN$116,MATCH(1,(P74&gt;=$AM$17:$AM$116)*($AN$17:$AN$116&gt;=P74)*($AK$17:$AK$116=$U$2),0),2),"")</f>
        <v/>
      </c>
      <c r="Q78" s="3" t="str">
        <f t="array" ref="Q78">IFERROR(INDEX($AK$17:$AN$116,MATCH(1,(Q74&gt;=$AM$17:$AM$116)*($AN$17:$AN$116&gt;=Q74)*($AK$17:$AK$116=$U$2),0),2),"")</f>
        <v/>
      </c>
      <c r="R78" s="3" t="str">
        <f t="array" ref="R78">IFERROR(INDEX($AK$17:$AN$116,MATCH(1,(R74&gt;=$AM$17:$AM$116)*($AN$17:$AN$116&gt;=R74)*($AK$17:$AK$116=$U$2),0),2),"")</f>
        <v/>
      </c>
      <c r="S78" s="3" t="str">
        <f t="array" ref="S78">IFERROR(INDEX($AK$17:$AN$116,MATCH(1,(S74&gt;=$AM$17:$AM$116)*($AN$17:$AN$116&gt;=S74)*($AK$17:$AK$116=$U$2),0),2),"")</f>
        <v/>
      </c>
      <c r="T78" s="3" t="str">
        <f t="array" ref="T78">IFERROR(INDEX($AK$17:$AN$116,MATCH(1,(T74&gt;=$AM$17:$AM$116)*($AN$17:$AN$116&gt;=T74)*($AK$17:$AK$116=$U$2),0),2),"")</f>
        <v/>
      </c>
      <c r="U78" s="3" t="str">
        <f t="array" ref="U78">IFERROR(INDEX($AK$17:$AN$116,MATCH(1,(U74&gt;=$AM$17:$AM$116)*($AN$17:$AN$116&gt;=U74)*($AK$17:$AK$116=$U$2),0),2),"")</f>
        <v/>
      </c>
      <c r="V78" s="3" t="str">
        <f t="array" ref="V78">IFERROR(INDEX($AK$17:$AN$116,MATCH(1,(V74&gt;=$AM$17:$AM$116)*($AN$17:$AN$116&gt;=V74)*($AK$17:$AK$116=$U$2),0),2),"")</f>
        <v/>
      </c>
      <c r="W78" s="3" t="str">
        <f t="array" ref="W78">IFERROR(INDEX($AK$17:$AN$116,MATCH(1,(W74&gt;=$AM$17:$AM$116)*($AN$17:$AN$116&gt;=W74)*($AK$17:$AK$116=$U$2),0),2),"")</f>
        <v/>
      </c>
      <c r="X78" s="3" t="str">
        <f t="array" ref="X78">IFERROR(INDEX($AK$17:$AN$116,MATCH(1,(X74&gt;=$AM$17:$AM$116)*($AN$17:$AN$116&gt;=X74)*($AK$17:$AK$116=$U$2),0),2),"")</f>
        <v/>
      </c>
      <c r="Y78" s="3" t="str">
        <f t="array" ref="Y78">IFERROR(INDEX($AK$17:$AN$116,MATCH(1,(Y74&gt;=$AM$17:$AM$116)*($AN$17:$AN$116&gt;=Y74)*($AK$17:$AK$116=$U$2),0),2),"")</f>
        <v/>
      </c>
      <c r="Z78" s="3" t="str">
        <f t="array" ref="Z78">IFERROR(INDEX($AK$17:$AN$116,MATCH(1,(Z74&gt;=$AM$17:$AM$116)*($AN$17:$AN$116&gt;=Z74)*($AK$17:$AK$116=$U$2),0),2),"")</f>
        <v/>
      </c>
      <c r="AA78" s="3" t="str">
        <f t="array" ref="AA78">IFERROR(INDEX($AK$17:$AN$116,MATCH(1,(AA74&gt;=$AM$17:$AM$116)*($AN$17:$AN$116&gt;=AA74)*($AK$17:$AK$116=$U$2),0),2),"")</f>
        <v/>
      </c>
      <c r="AB78" s="3" t="str">
        <f t="array" ref="AB78">IFERROR(INDEX($AK$17:$AN$116,MATCH(1,(AB74&gt;=$AM$17:$AM$116)*($AN$17:$AN$116&gt;=AB74)*($AK$17:$AK$116=$U$2),0),2),"")</f>
        <v/>
      </c>
      <c r="AC78" s="3" t="str">
        <f t="array" ref="AC78">IFERROR(INDEX($AK$17:$AN$116,MATCH(1,(AC74&gt;=$AM$17:$AM$116)*($AN$17:$AN$116&gt;=AC74)*($AK$17:$AK$116=$U$2),0),2),"")</f>
        <v/>
      </c>
      <c r="AD78" s="3" t="str">
        <f t="array" ref="AD78">IFERROR(INDEX($AK$17:$AN$116,MATCH(1,(AD74&gt;=$AM$17:$AM$116)*($AN$17:$AN$116&gt;=AD74)*($AK$17:$AK$116=$U$2),0),2),"")</f>
        <v/>
      </c>
      <c r="AE78" s="3" t="str">
        <f t="array" ref="AE78">IFERROR(INDEX($AK$17:$AN$116,MATCH(1,(AE74&gt;=$AM$17:$AM$116)*($AN$17:$AN$116&gt;=AE74)*($AK$17:$AK$116=$U$2),0),2),"")</f>
        <v/>
      </c>
      <c r="AF78" s="3" t="str">
        <f t="array" ref="AF78">IFERROR(INDEX($AK$17:$AN$116,MATCH(1,(AF74&gt;=$AM$17:$AM$116)*($AN$17:$AN$116&gt;=AF74)*($AK$17:$AK$116=$U$2),0),2),"")</f>
        <v/>
      </c>
      <c r="AG78" s="3" t="str">
        <f t="array" ref="AG78">IFERROR(INDEX($AK$17:$AN$116,MATCH(1,(AG74&gt;=$AM$17:$AM$116)*($AN$17:$AN$116&gt;=AG74)*($AK$17:$AK$116=$U$2),0),2),"")</f>
        <v/>
      </c>
      <c r="AH78" s="648">
        <f>COUNTIF(C78:AG78,AI78)</f>
        <v>0</v>
      </c>
      <c r="AI78" s="639" t="s">
        <v>362</v>
      </c>
      <c r="AJ78" s="13">
        <v>62</v>
      </c>
      <c r="AL78" s="23"/>
      <c r="AM78" s="31"/>
      <c r="AN78" s="31"/>
      <c r="AO78" s="635">
        <f>Absences268101214[[#This Row],[debut]]</f>
        <v>0</v>
      </c>
      <c r="AP78" s="13"/>
      <c r="AU78" s="934" t="s">
        <v>916</v>
      </c>
      <c r="AV78" s="935" t="s">
        <v>916</v>
      </c>
      <c r="AW78" s="935" t="s">
        <v>916</v>
      </c>
      <c r="AX78" s="936"/>
      <c r="AY78" s="935" t="s">
        <v>916</v>
      </c>
      <c r="AZ78" s="935" t="s">
        <v>916</v>
      </c>
      <c r="BA78" s="937"/>
      <c r="BB78" s="938"/>
      <c r="BC78" s="56"/>
      <c r="BD78" s="56"/>
      <c r="BE78" s="56"/>
      <c r="BF78" s="56"/>
    </row>
    <row r="79" spans="1:58" ht="16.5" customHeight="1" thickBot="1" x14ac:dyDescent="0.45">
      <c r="A79" s="678"/>
      <c r="B79" s="40">
        <f>COUNTA(C79:AG79)</f>
        <v>0</v>
      </c>
      <c r="C79" s="41"/>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677"/>
      <c r="AI79" s="678"/>
      <c r="AJ79" s="13">
        <v>63</v>
      </c>
      <c r="AL79" s="23"/>
      <c r="AM79" s="31"/>
      <c r="AN79" s="31"/>
      <c r="AO79" s="635">
        <f>Absences268101214[[#This Row],[debut]]</f>
        <v>0</v>
      </c>
      <c r="AP79" s="13"/>
      <c r="AU79" s="934" t="s">
        <v>917</v>
      </c>
      <c r="AV79" s="935" t="s">
        <v>917</v>
      </c>
      <c r="AW79" s="935" t="s">
        <v>917</v>
      </c>
      <c r="AX79" s="936"/>
      <c r="AY79" s="935" t="s">
        <v>917</v>
      </c>
      <c r="AZ79" s="935" t="s">
        <v>917</v>
      </c>
      <c r="BA79" s="935" t="s">
        <v>917</v>
      </c>
      <c r="BB79" s="939" t="s">
        <v>917</v>
      </c>
      <c r="BC79" s="56"/>
      <c r="BD79" s="56"/>
      <c r="BE79" s="56"/>
      <c r="BF79" s="56"/>
    </row>
    <row r="80" spans="1:58" ht="26.25"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v>64</v>
      </c>
      <c r="AL80" s="23"/>
      <c r="AM80" s="31"/>
      <c r="AN80" s="31"/>
      <c r="AO80" s="635">
        <f>Absences268101214[[#This Row],[debut]]</f>
        <v>0</v>
      </c>
      <c r="AP80" s="13"/>
      <c r="AU80" s="940"/>
      <c r="AV80" s="941" t="s">
        <v>918</v>
      </c>
      <c r="AW80" s="937"/>
      <c r="AX80" s="937"/>
      <c r="AY80" s="937"/>
      <c r="AZ80" s="937"/>
      <c r="BA80" s="941" t="s">
        <v>918</v>
      </c>
      <c r="BB80" s="942" t="s">
        <v>918</v>
      </c>
      <c r="BC80" s="56"/>
      <c r="BD80" s="56"/>
      <c r="BE80" s="56"/>
      <c r="BF80" s="56"/>
    </row>
    <row r="81" spans="1:58" ht="26.25" x14ac:dyDescent="0.4">
      <c r="A81" s="13"/>
      <c r="B81" s="18"/>
      <c r="C81" s="616" t="s">
        <v>801</v>
      </c>
      <c r="D81" s="18"/>
      <c r="E81" s="18"/>
      <c r="F81" s="18"/>
      <c r="G81" s="18"/>
      <c r="H81" s="18"/>
      <c r="I81" s="18"/>
      <c r="J81" s="18"/>
      <c r="K81" s="18"/>
      <c r="L81" s="18"/>
      <c r="M81" s="18"/>
      <c r="N81" s="18"/>
      <c r="O81" s="18"/>
      <c r="P81" s="18"/>
      <c r="Q81" s="18"/>
      <c r="R81" s="18"/>
      <c r="S81" s="13"/>
      <c r="T81" s="13"/>
      <c r="U81" s="13"/>
      <c r="V81" s="13"/>
      <c r="W81" s="13"/>
      <c r="X81" s="13"/>
      <c r="Y81" s="13"/>
      <c r="Z81" s="13"/>
      <c r="AA81" s="13"/>
      <c r="AB81" s="13"/>
      <c r="AC81" s="13"/>
      <c r="AD81" s="13"/>
      <c r="AE81" s="13"/>
      <c r="AF81" s="13"/>
      <c r="AG81" s="13"/>
      <c r="AH81" s="13"/>
      <c r="AI81" s="13"/>
      <c r="AJ81" s="13">
        <v>65</v>
      </c>
      <c r="AL81" s="23"/>
      <c r="AM81" s="31"/>
      <c r="AN81" s="31"/>
      <c r="AO81" s="635">
        <f>Absences268101214[[#This Row],[debut]]</f>
        <v>0</v>
      </c>
      <c r="AP81" s="13"/>
      <c r="AU81" s="943" t="s">
        <v>919</v>
      </c>
      <c r="AV81" s="941" t="s">
        <v>919</v>
      </c>
      <c r="AW81" s="944" t="s">
        <v>919</v>
      </c>
      <c r="AX81" s="945"/>
      <c r="AY81" s="941" t="s">
        <v>919</v>
      </c>
      <c r="AZ81" s="941" t="s">
        <v>919</v>
      </c>
      <c r="BA81" s="941" t="s">
        <v>919</v>
      </c>
      <c r="BB81" s="942" t="s">
        <v>919</v>
      </c>
      <c r="BC81" s="56"/>
      <c r="BD81" s="56"/>
      <c r="BE81" s="56"/>
      <c r="BF81" s="56"/>
    </row>
    <row r="82" spans="1:58" ht="26.25" x14ac:dyDescent="0.25">
      <c r="A82" s="13"/>
      <c r="B82" s="18"/>
      <c r="C82" s="614" t="s">
        <v>815</v>
      </c>
      <c r="D82" s="614"/>
      <c r="E82" s="614"/>
      <c r="F82" s="614"/>
      <c r="G82" s="614"/>
      <c r="H82" s="614"/>
      <c r="I82" s="614"/>
      <c r="J82" s="614"/>
      <c r="K82" s="614"/>
      <c r="L82" s="614"/>
      <c r="M82" s="614"/>
      <c r="N82" s="614"/>
      <c r="O82" s="614"/>
      <c r="P82" s="18"/>
      <c r="Q82" s="18"/>
      <c r="R82" s="18"/>
      <c r="S82" s="13"/>
      <c r="T82" s="13"/>
      <c r="U82" s="13"/>
      <c r="V82" s="13"/>
      <c r="W82" s="13"/>
      <c r="X82" s="13"/>
      <c r="Y82" s="13"/>
      <c r="Z82" s="13"/>
      <c r="AA82" s="13"/>
      <c r="AB82" s="13"/>
      <c r="AC82" s="13"/>
      <c r="AD82" s="13"/>
      <c r="AE82" s="13"/>
      <c r="AF82" s="13"/>
      <c r="AG82" s="13"/>
      <c r="AH82" s="13"/>
      <c r="AI82" s="13"/>
      <c r="AJ82" s="13">
        <v>66</v>
      </c>
      <c r="AL82" s="23"/>
      <c r="AM82" s="31"/>
      <c r="AN82" s="31"/>
      <c r="AO82" s="635">
        <f>Absences268101214[[#This Row],[debut]]</f>
        <v>0</v>
      </c>
      <c r="AP82" s="13"/>
      <c r="AU82" s="940"/>
      <c r="AV82" s="937"/>
      <c r="AW82" s="935" t="s">
        <v>920</v>
      </c>
      <c r="AX82" s="937"/>
      <c r="AY82" s="937"/>
      <c r="AZ82" s="935" t="s">
        <v>920</v>
      </c>
      <c r="BA82" s="937"/>
      <c r="BB82" s="938"/>
      <c r="BC82" s="960"/>
      <c r="BD82" s="56"/>
      <c r="BE82" s="56"/>
      <c r="BF82" s="56"/>
    </row>
    <row r="83" spans="1:58" ht="26.25" x14ac:dyDescent="0.4">
      <c r="A83" s="13"/>
      <c r="C83" s="634" t="s">
        <v>814</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67</v>
      </c>
      <c r="AL83" s="23"/>
      <c r="AM83" s="31"/>
      <c r="AN83" s="31"/>
      <c r="AO83" s="635">
        <f>Absences268101214[[#This Row],[debut]]</f>
        <v>0</v>
      </c>
      <c r="AP83" s="13"/>
      <c r="AU83" s="946" t="s">
        <v>557</v>
      </c>
      <c r="AV83" s="937"/>
      <c r="AW83" s="947" t="s">
        <v>557</v>
      </c>
      <c r="AX83" s="945"/>
      <c r="AY83" s="947" t="s">
        <v>557</v>
      </c>
      <c r="AZ83" s="947" t="s">
        <v>557</v>
      </c>
      <c r="BA83" s="937"/>
      <c r="BB83" s="938"/>
      <c r="BC83" s="56"/>
      <c r="BD83" s="56"/>
      <c r="BE83" s="56"/>
      <c r="BF83" s="56"/>
    </row>
    <row r="84" spans="1:58" ht="27" thickBot="1" x14ac:dyDescent="0.3">
      <c r="A84" s="13"/>
      <c r="B84" s="620" t="s">
        <v>184</v>
      </c>
      <c r="C84" s="617" t="s">
        <v>0</v>
      </c>
      <c r="D84" s="18" t="s">
        <v>816</v>
      </c>
      <c r="E84" s="18"/>
      <c r="F84" s="18"/>
      <c r="G84" s="18"/>
      <c r="H84" s="18"/>
      <c r="I84" s="18"/>
      <c r="J84" s="18"/>
      <c r="K84" s="18"/>
      <c r="L84" s="18"/>
      <c r="M84" s="18"/>
      <c r="N84" s="18"/>
      <c r="O84" s="18"/>
      <c r="P84" s="18"/>
      <c r="Q84" s="18"/>
      <c r="R84" s="18"/>
      <c r="S84" s="13"/>
      <c r="T84" s="13" t="s">
        <v>811</v>
      </c>
      <c r="U84" s="13"/>
      <c r="V84" s="13"/>
      <c r="W84" s="13"/>
      <c r="X84" s="13"/>
      <c r="Y84" s="13"/>
      <c r="Z84" s="13"/>
      <c r="AA84" s="13"/>
      <c r="AB84" s="13"/>
      <c r="AC84" s="13"/>
      <c r="AD84" s="13"/>
      <c r="AE84" s="13"/>
      <c r="AF84" s="13"/>
      <c r="AG84" s="13"/>
      <c r="AH84" s="13"/>
      <c r="AI84" s="13"/>
      <c r="AJ84" s="13">
        <v>68</v>
      </c>
      <c r="AL84" s="23"/>
      <c r="AM84" s="31"/>
      <c r="AN84" s="31"/>
      <c r="AO84" s="635">
        <f>Absences268101214[[#This Row],[debut]]</f>
        <v>0</v>
      </c>
      <c r="AP84" s="13"/>
      <c r="AU84" s="932" t="s">
        <v>913</v>
      </c>
      <c r="AV84" s="963"/>
      <c r="AW84" s="933" t="s">
        <v>913</v>
      </c>
      <c r="AX84" s="933"/>
      <c r="AY84" s="933" t="s">
        <v>913</v>
      </c>
      <c r="AZ84" s="933" t="s">
        <v>913</v>
      </c>
      <c r="BA84" s="948"/>
      <c r="BB84" s="949"/>
      <c r="BC84" s="960"/>
      <c r="BD84" s="56"/>
      <c r="BE84" s="56"/>
      <c r="BF84" s="56"/>
    </row>
    <row r="85" spans="1:58" ht="16.5" x14ac:dyDescent="0.25">
      <c r="A85" s="13"/>
      <c r="B85" s="620" t="s">
        <v>185</v>
      </c>
      <c r="C85" s="612" t="s">
        <v>3</v>
      </c>
      <c r="D85" s="18" t="s">
        <v>802</v>
      </c>
      <c r="E85" s="18"/>
      <c r="F85" s="18"/>
      <c r="G85" s="18"/>
      <c r="H85" s="18"/>
      <c r="I85" s="18"/>
      <c r="J85" s="18"/>
      <c r="K85" s="18"/>
      <c r="L85" s="18"/>
      <c r="M85" s="18"/>
      <c r="N85" s="18"/>
      <c r="O85" s="18"/>
      <c r="P85" s="18"/>
      <c r="Q85" s="18"/>
      <c r="R85" s="18"/>
      <c r="S85" s="13"/>
      <c r="T85" s="13" t="s">
        <v>787</v>
      </c>
      <c r="U85" s="13"/>
      <c r="V85" s="13"/>
      <c r="W85" s="13"/>
      <c r="X85" s="13"/>
      <c r="Y85" s="13"/>
      <c r="Z85" s="13"/>
      <c r="AA85" s="13"/>
      <c r="AB85" s="13"/>
      <c r="AC85" s="13"/>
      <c r="AD85" s="13"/>
      <c r="AE85" s="13"/>
      <c r="AF85" s="13"/>
      <c r="AG85" s="13"/>
      <c r="AH85" s="13"/>
      <c r="AI85" s="13"/>
      <c r="AJ85" s="13">
        <v>69</v>
      </c>
      <c r="AL85" s="23"/>
      <c r="AM85" s="31"/>
      <c r="AN85" s="31"/>
      <c r="AO85" s="635">
        <f>Absences268101214[[#This Row],[debut]]</f>
        <v>0</v>
      </c>
      <c r="AP85" s="13"/>
      <c r="AU85" s="959" t="s">
        <v>567</v>
      </c>
      <c r="AV85" s="959" t="s">
        <v>568</v>
      </c>
      <c r="AW85" s="959" t="s">
        <v>569</v>
      </c>
      <c r="AX85" s="56"/>
      <c r="AY85" s="959" t="s">
        <v>556</v>
      </c>
      <c r="AZ85" s="959" t="s">
        <v>570</v>
      </c>
      <c r="BA85" s="959" t="s">
        <v>571</v>
      </c>
      <c r="BB85" s="959" t="s">
        <v>572</v>
      </c>
      <c r="BC85" s="56"/>
      <c r="BD85" s="56"/>
      <c r="BE85" s="56"/>
      <c r="BF85" s="56"/>
    </row>
    <row r="86" spans="1:58" ht="18" x14ac:dyDescent="0.25">
      <c r="A86" s="13"/>
      <c r="B86" s="621"/>
      <c r="C86" s="18"/>
      <c r="D86" s="18" t="s">
        <v>805</v>
      </c>
      <c r="E86" s="18"/>
      <c r="F86" s="18"/>
      <c r="G86" s="18"/>
      <c r="H86" s="18"/>
      <c r="I86" s="18"/>
      <c r="J86" s="18"/>
      <c r="K86" s="18"/>
      <c r="L86" s="18"/>
      <c r="M86" s="93"/>
      <c r="N86" s="618"/>
      <c r="O86" s="18"/>
      <c r="P86" s="18"/>
      <c r="Q86" s="18"/>
      <c r="R86" s="18"/>
      <c r="S86" s="13"/>
      <c r="T86" s="13" t="s">
        <v>791</v>
      </c>
      <c r="U86" s="13"/>
      <c r="V86" s="13"/>
      <c r="W86" s="13"/>
      <c r="X86" s="13"/>
      <c r="Y86" s="13"/>
      <c r="Z86" s="13"/>
      <c r="AA86" s="13"/>
      <c r="AB86" s="13"/>
      <c r="AC86" s="13"/>
      <c r="AD86" s="13"/>
      <c r="AE86" s="13"/>
      <c r="AF86" s="13"/>
      <c r="AG86" s="13"/>
      <c r="AH86" s="13"/>
      <c r="AI86" s="13"/>
      <c r="AJ86" s="13">
        <v>70</v>
      </c>
      <c r="AL86" s="23"/>
      <c r="AM86" s="31"/>
      <c r="AN86" s="31"/>
      <c r="AO86" s="635">
        <f>Absences268101214[[#This Row],[debut]]</f>
        <v>0</v>
      </c>
      <c r="AP86" s="13"/>
      <c r="AU86" s="273">
        <v>1.2708333333333333</v>
      </c>
      <c r="AV86" s="273">
        <v>1.1041666666666667</v>
      </c>
      <c r="AW86" s="273">
        <v>1.3958333333333333</v>
      </c>
      <c r="AY86" s="273">
        <v>1.2708333333333333</v>
      </c>
      <c r="AZ86" s="273">
        <v>1.3541666666666667</v>
      </c>
      <c r="BA86" s="273">
        <v>0.875</v>
      </c>
      <c r="BB86" s="273">
        <v>0.875</v>
      </c>
      <c r="BC86" s="56"/>
      <c r="BD86" s="56"/>
      <c r="BE86" s="56"/>
      <c r="BF86" s="56"/>
    </row>
    <row r="87" spans="1:58" ht="18" x14ac:dyDescent="0.25">
      <c r="A87" s="13"/>
      <c r="B87" s="620" t="s">
        <v>186</v>
      </c>
      <c r="C87" s="612" t="s">
        <v>1</v>
      </c>
      <c r="D87" s="626" t="s">
        <v>2</v>
      </c>
      <c r="E87" s="18" t="s">
        <v>828</v>
      </c>
      <c r="F87" s="18"/>
      <c r="G87" s="18"/>
      <c r="H87" s="18"/>
      <c r="I87" s="18"/>
      <c r="J87" s="18"/>
      <c r="K87" s="18"/>
      <c r="L87" s="18"/>
      <c r="M87" s="18"/>
      <c r="N87" s="18"/>
      <c r="O87" s="18"/>
      <c r="P87" s="18"/>
      <c r="Q87" s="18"/>
      <c r="R87" s="18"/>
      <c r="S87" s="13"/>
      <c r="T87" s="13" t="s">
        <v>788</v>
      </c>
      <c r="U87" s="13"/>
      <c r="V87" s="13"/>
      <c r="W87" s="13"/>
      <c r="X87" s="13"/>
      <c r="Y87" s="13"/>
      <c r="Z87" s="13"/>
      <c r="AA87" s="13"/>
      <c r="AB87" s="13"/>
      <c r="AC87" s="13"/>
      <c r="AD87" s="13"/>
      <c r="AE87" s="13"/>
      <c r="AF87" s="13"/>
      <c r="AG87" s="13"/>
      <c r="AH87" s="13"/>
      <c r="AI87" s="13"/>
      <c r="AJ87" s="13">
        <v>71</v>
      </c>
      <c r="AL87" s="23"/>
      <c r="AM87" s="31"/>
      <c r="AN87" s="31"/>
      <c r="AO87" s="635">
        <f>Absences268101214[[#This Row],[debut]]</f>
        <v>0</v>
      </c>
      <c r="AP87" s="13"/>
      <c r="AU87" s="960"/>
      <c r="AV87" s="960"/>
      <c r="AW87" s="960"/>
      <c r="AX87" s="960"/>
      <c r="AY87" s="960"/>
      <c r="AZ87" s="960"/>
      <c r="BA87" s="961" t="s">
        <v>555</v>
      </c>
      <c r="BB87" s="961"/>
      <c r="BC87" s="56"/>
      <c r="BD87" s="56"/>
      <c r="BE87" s="56"/>
      <c r="BF87" s="56"/>
    </row>
    <row r="88" spans="1:58" ht="20.25" x14ac:dyDescent="0.25">
      <c r="A88" s="13"/>
      <c r="B88" s="18"/>
      <c r="C88" s="613" t="s">
        <v>362</v>
      </c>
      <c r="D88" s="627" t="s">
        <v>803</v>
      </c>
      <c r="E88" s="18"/>
      <c r="F88" s="18"/>
      <c r="G88" s="18"/>
      <c r="H88" s="18"/>
      <c r="I88" s="18"/>
      <c r="J88" s="18"/>
      <c r="K88" s="18"/>
      <c r="L88" s="18"/>
      <c r="M88" s="18"/>
      <c r="N88" s="18"/>
      <c r="O88" s="18"/>
      <c r="P88" s="18"/>
      <c r="Q88" s="18"/>
      <c r="R88" s="18"/>
      <c r="S88" s="13"/>
      <c r="T88" s="13" t="s">
        <v>789</v>
      </c>
      <c r="U88" s="13"/>
      <c r="V88" s="13"/>
      <c r="W88" s="13"/>
      <c r="X88" s="13"/>
      <c r="Y88" s="13"/>
      <c r="Z88" s="13"/>
      <c r="AA88" s="13"/>
      <c r="AB88" s="13"/>
      <c r="AC88" s="13"/>
      <c r="AD88" s="13"/>
      <c r="AE88" s="13"/>
      <c r="AF88" s="13"/>
      <c r="AG88" s="13"/>
      <c r="AH88" s="13"/>
      <c r="AI88" s="13"/>
      <c r="AJ88" s="13">
        <v>72</v>
      </c>
      <c r="AL88" s="23"/>
      <c r="AM88" s="31"/>
      <c r="AN88" s="31"/>
      <c r="AO88" s="635">
        <f>Absences268101214[[#This Row],[debut]]</f>
        <v>0</v>
      </c>
      <c r="AP88" s="13"/>
      <c r="AU88" s="960"/>
      <c r="AV88" s="56"/>
      <c r="AW88" s="56"/>
      <c r="AX88" s="56"/>
      <c r="AY88" s="56"/>
      <c r="AZ88" s="962" t="s">
        <v>573</v>
      </c>
      <c r="BA88" s="271">
        <f>SUM(AU86:BB86)</f>
        <v>8.1458333333333321</v>
      </c>
      <c r="BB88" s="272"/>
      <c r="BC88" s="960"/>
      <c r="BD88" s="56"/>
      <c r="BE88" s="56"/>
      <c r="BF88" s="56"/>
    </row>
    <row r="89" spans="1:58" x14ac:dyDescent="0.25">
      <c r="A89" s="13"/>
      <c r="B89" s="18"/>
      <c r="C89" s="18"/>
      <c r="D89" s="18" t="s">
        <v>804</v>
      </c>
      <c r="E89" s="18"/>
      <c r="F89" s="18"/>
      <c r="G89" s="18"/>
      <c r="H89" s="18"/>
      <c r="I89" s="18"/>
      <c r="J89" s="18"/>
      <c r="K89" s="18"/>
      <c r="L89" s="18"/>
      <c r="M89" s="18"/>
      <c r="N89" s="18"/>
      <c r="O89" s="18"/>
      <c r="P89" s="18"/>
      <c r="Q89" s="18"/>
      <c r="R89" s="18"/>
      <c r="S89" s="13"/>
      <c r="T89" s="13" t="s">
        <v>790</v>
      </c>
      <c r="U89" s="13"/>
      <c r="V89" s="13"/>
      <c r="W89" s="13"/>
      <c r="X89" s="13"/>
      <c r="Y89" s="13"/>
      <c r="Z89" s="13"/>
      <c r="AA89" s="13"/>
      <c r="AB89" s="13"/>
      <c r="AC89" s="13"/>
      <c r="AD89" s="13"/>
      <c r="AE89" s="13"/>
      <c r="AF89" s="13"/>
      <c r="AG89" s="13"/>
      <c r="AH89" s="13"/>
      <c r="AI89" s="13"/>
      <c r="AJ89" s="13">
        <v>73</v>
      </c>
      <c r="AL89" s="23"/>
      <c r="AM89" s="31"/>
      <c r="AN89" s="31"/>
      <c r="AO89" s="635">
        <f>Absences268101214[[#This Row],[debut]]</f>
        <v>0</v>
      </c>
      <c r="AP89" s="13"/>
      <c r="AU89" s="56"/>
      <c r="AV89" s="56"/>
      <c r="AW89" s="56"/>
      <c r="AX89" s="56"/>
      <c r="AY89" s="56"/>
      <c r="AZ89" s="56"/>
      <c r="BA89" s="56"/>
      <c r="BB89" s="56"/>
      <c r="BC89" s="960"/>
      <c r="BD89" s="960"/>
      <c r="BE89" s="960"/>
      <c r="BF89" s="56"/>
    </row>
    <row r="90" spans="1:58" x14ac:dyDescent="0.25">
      <c r="A90" s="13"/>
      <c r="B90" s="18"/>
      <c r="C90" s="18"/>
      <c r="D90" s="18"/>
      <c r="E90" s="18"/>
      <c r="F90" s="18"/>
      <c r="G90" s="18"/>
      <c r="H90" s="18"/>
      <c r="I90" s="18"/>
      <c r="J90" s="18"/>
      <c r="K90" s="18"/>
      <c r="L90" s="18"/>
      <c r="M90" s="18"/>
      <c r="N90" s="18"/>
      <c r="O90" s="18"/>
      <c r="P90" s="18"/>
      <c r="Q90" s="18"/>
      <c r="R90" s="18"/>
      <c r="S90" s="13"/>
      <c r="T90" s="13"/>
      <c r="U90" s="13"/>
      <c r="V90" s="13"/>
      <c r="W90" s="13"/>
      <c r="X90" s="13"/>
      <c r="Y90" s="13"/>
      <c r="Z90" s="13"/>
      <c r="AA90" s="13"/>
      <c r="AB90" s="13"/>
      <c r="AC90" s="13"/>
      <c r="AD90" s="13"/>
      <c r="AE90" s="13"/>
      <c r="AF90" s="13"/>
      <c r="AG90" s="13"/>
      <c r="AH90" s="13"/>
      <c r="AI90" s="13"/>
      <c r="AJ90" s="13">
        <v>74</v>
      </c>
      <c r="AL90" s="23"/>
      <c r="AM90" s="31"/>
      <c r="AN90" s="31"/>
      <c r="AO90" s="635">
        <f>Absences268101214[[#This Row],[debut]]</f>
        <v>0</v>
      </c>
      <c r="AP90" s="13"/>
      <c r="AU90" s="56"/>
      <c r="AV90" s="56"/>
      <c r="AW90" s="56"/>
      <c r="AX90" s="56"/>
      <c r="AY90" s="56"/>
      <c r="AZ90" s="56"/>
      <c r="BA90" s="56"/>
      <c r="BB90" s="56"/>
      <c r="BC90" s="960"/>
      <c r="BD90" s="960"/>
      <c r="BE90" s="960"/>
      <c r="BF90" s="960"/>
    </row>
    <row r="91" spans="1:58" ht="21" x14ac:dyDescent="0.25">
      <c r="A91" s="13"/>
      <c r="B91" s="622" t="s">
        <v>187</v>
      </c>
      <c r="C91" s="624" t="s">
        <v>837</v>
      </c>
      <c r="D91" s="18"/>
      <c r="E91" s="18"/>
      <c r="F91" s="18"/>
      <c r="G91" s="18"/>
      <c r="H91" s="18"/>
      <c r="I91" s="18"/>
      <c r="J91" s="18"/>
      <c r="K91" s="18"/>
      <c r="L91" s="18"/>
      <c r="M91" s="18"/>
      <c r="N91" s="18"/>
      <c r="O91" s="18"/>
      <c r="P91" s="18"/>
      <c r="Q91" s="18"/>
      <c r="R91" s="18"/>
      <c r="S91" s="13"/>
      <c r="T91" s="13"/>
      <c r="U91" s="13"/>
      <c r="V91" s="13"/>
      <c r="W91" s="13"/>
      <c r="X91" s="13"/>
      <c r="Y91" s="13"/>
      <c r="Z91" s="13"/>
      <c r="AA91" s="13"/>
      <c r="AB91" s="13"/>
      <c r="AC91" s="13"/>
      <c r="AD91" s="13"/>
      <c r="AE91" s="13"/>
      <c r="AF91" s="13"/>
      <c r="AG91" s="13"/>
      <c r="AH91" s="13"/>
      <c r="AI91" s="13"/>
      <c r="AJ91" s="13">
        <v>75</v>
      </c>
      <c r="AL91" s="23"/>
      <c r="AM91" s="31"/>
      <c r="AN91" s="31"/>
      <c r="AO91" s="635">
        <f>Absences268101214[[#This Row],[debut]]</f>
        <v>0</v>
      </c>
      <c r="AP91" s="13"/>
      <c r="AU91" s="56"/>
      <c r="AV91" s="56"/>
      <c r="AW91" s="56"/>
      <c r="AX91" s="56"/>
      <c r="AY91" s="56"/>
      <c r="AZ91" s="56"/>
      <c r="BA91" s="56"/>
      <c r="BB91" s="56"/>
      <c r="BC91" s="960"/>
      <c r="BD91" s="960"/>
      <c r="BE91" s="960"/>
      <c r="BF91" s="960"/>
    </row>
    <row r="92" spans="1:58" x14ac:dyDescent="0.25">
      <c r="A92" s="13"/>
      <c r="B92" s="18"/>
      <c r="C92" s="615">
        <v>2020</v>
      </c>
      <c r="D92" s="18" t="s">
        <v>806</v>
      </c>
      <c r="E92" s="18"/>
      <c r="F92" s="18"/>
      <c r="G92" s="18"/>
      <c r="H92" s="18"/>
      <c r="I92" s="18"/>
      <c r="J92" s="18"/>
      <c r="K92" s="18"/>
      <c r="L92" s="18"/>
      <c r="M92" s="18"/>
      <c r="N92" s="18"/>
      <c r="O92" s="18"/>
      <c r="P92" s="18"/>
      <c r="Q92" s="18"/>
      <c r="R92" s="18"/>
      <c r="S92" s="13"/>
      <c r="T92" s="13"/>
      <c r="U92" s="13"/>
      <c r="V92" s="13"/>
      <c r="W92" s="13"/>
      <c r="X92" s="13"/>
      <c r="Y92" s="13"/>
      <c r="Z92" s="13"/>
      <c r="AA92" s="13"/>
      <c r="AB92" s="13"/>
      <c r="AC92" s="13"/>
      <c r="AD92" s="13"/>
      <c r="AE92" s="13"/>
      <c r="AF92" s="13"/>
      <c r="AG92" s="13"/>
      <c r="AH92" s="13"/>
      <c r="AI92" s="13"/>
      <c r="AJ92" s="13">
        <v>76</v>
      </c>
      <c r="AL92" s="23"/>
      <c r="AM92" s="31"/>
      <c r="AN92" s="31"/>
      <c r="AO92" s="635">
        <f>Absences268101214[[#This Row],[debut]]</f>
        <v>0</v>
      </c>
      <c r="AP92" s="13"/>
      <c r="AU92" s="56"/>
      <c r="AV92" s="56"/>
      <c r="AW92" s="56"/>
      <c r="AX92" s="56"/>
      <c r="AY92" s="56"/>
      <c r="AZ92" s="56"/>
      <c r="BA92" s="56"/>
      <c r="BB92" s="56"/>
      <c r="BC92" s="960"/>
      <c r="BD92" s="960"/>
      <c r="BE92" s="960"/>
      <c r="BF92" s="960"/>
    </row>
    <row r="93" spans="1:58" x14ac:dyDescent="0.25">
      <c r="A93" s="13"/>
      <c r="B93" s="18"/>
      <c r="C93" s="1474" t="s">
        <v>5</v>
      </c>
      <c r="D93" s="1474"/>
      <c r="E93" s="18" t="s">
        <v>807</v>
      </c>
      <c r="F93" s="18"/>
      <c r="G93" s="18"/>
      <c r="H93" s="18"/>
      <c r="I93" s="18"/>
      <c r="J93" s="18"/>
      <c r="K93" s="18"/>
      <c r="L93" s="18"/>
      <c r="M93" s="18"/>
      <c r="N93" s="18"/>
      <c r="O93" s="18"/>
      <c r="P93" s="18"/>
      <c r="Q93" s="18"/>
      <c r="R93" s="18"/>
      <c r="S93" s="13"/>
      <c r="T93" s="13"/>
      <c r="U93" s="13"/>
      <c r="V93" s="13"/>
      <c r="W93" s="13"/>
      <c r="X93" s="13"/>
      <c r="Y93" s="13"/>
      <c r="Z93" s="13"/>
      <c r="AA93" s="13"/>
      <c r="AB93" s="13"/>
      <c r="AC93" s="13"/>
      <c r="AD93" s="13"/>
      <c r="AE93" s="13"/>
      <c r="AF93" s="13"/>
      <c r="AG93" s="13"/>
      <c r="AH93" s="13"/>
      <c r="AI93" s="13"/>
      <c r="AJ93" s="13">
        <v>77</v>
      </c>
      <c r="AL93" s="23"/>
      <c r="AM93" s="31"/>
      <c r="AN93" s="31"/>
      <c r="AO93" s="635">
        <f>Absences268101214[[#This Row],[debut]]</f>
        <v>0</v>
      </c>
      <c r="AP93" s="13"/>
      <c r="AU93" s="56"/>
      <c r="AV93" s="56"/>
      <c r="AW93" s="56"/>
      <c r="AX93" s="56"/>
      <c r="AY93" s="56"/>
      <c r="AZ93" s="56"/>
      <c r="BA93" s="56"/>
      <c r="BB93" s="56"/>
      <c r="BC93" s="960"/>
      <c r="BD93" s="960"/>
      <c r="BE93" s="960"/>
      <c r="BF93" s="960"/>
    </row>
    <row r="94" spans="1:58" ht="18.75" x14ac:dyDescent="0.25">
      <c r="A94" s="13"/>
      <c r="B94" s="18"/>
      <c r="C94" s="1475" t="s">
        <v>36</v>
      </c>
      <c r="D94" s="1475"/>
      <c r="E94" s="18" t="s">
        <v>824</v>
      </c>
      <c r="F94" s="619"/>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c r="AG94" s="13"/>
      <c r="AH94" s="13"/>
      <c r="AI94" s="13"/>
      <c r="AJ94" s="13">
        <v>78</v>
      </c>
      <c r="AL94" s="23"/>
      <c r="AM94" s="31"/>
      <c r="AN94" s="31"/>
      <c r="AO94" s="635">
        <f>Absences268101214[[#This Row],[debut]]</f>
        <v>0</v>
      </c>
      <c r="AP94" s="13"/>
      <c r="AU94" s="56"/>
      <c r="AV94" s="56"/>
      <c r="AW94" s="56"/>
      <c r="AX94" s="56"/>
      <c r="AY94" s="56"/>
      <c r="AZ94" s="56"/>
      <c r="BA94" s="56"/>
      <c r="BB94" s="960"/>
      <c r="BC94" s="960"/>
      <c r="BD94" s="960"/>
      <c r="BE94" s="960"/>
      <c r="BF94" s="960"/>
    </row>
    <row r="95" spans="1:58" x14ac:dyDescent="0.25">
      <c r="A95" s="13"/>
      <c r="B95" s="13"/>
      <c r="C95" s="13"/>
      <c r="D95" s="13"/>
      <c r="E95" s="13"/>
      <c r="F95" s="13"/>
      <c r="G95" s="13"/>
      <c r="H95" s="13"/>
      <c r="I95" s="18"/>
      <c r="J95" s="18"/>
      <c r="K95" s="18"/>
      <c r="L95" s="18"/>
      <c r="M95" s="18"/>
      <c r="N95" s="18"/>
      <c r="O95" s="18"/>
      <c r="P95" s="18"/>
      <c r="Q95" s="18"/>
      <c r="R95" s="18"/>
      <c r="S95" s="13"/>
      <c r="T95" s="13"/>
      <c r="U95" s="13"/>
      <c r="V95" s="13"/>
      <c r="W95" s="13"/>
      <c r="X95" s="13"/>
      <c r="Y95" s="13"/>
      <c r="Z95" s="13"/>
      <c r="AA95" s="13"/>
      <c r="AB95" s="13"/>
      <c r="AC95" s="13"/>
      <c r="AD95" s="13"/>
      <c r="AE95" s="13"/>
      <c r="AF95" s="13"/>
      <c r="AG95" s="13"/>
      <c r="AH95" s="13"/>
      <c r="AI95" s="13"/>
      <c r="AJ95" s="13">
        <v>79</v>
      </c>
      <c r="AL95" s="23"/>
      <c r="AM95" s="31"/>
      <c r="AN95" s="31"/>
      <c r="AO95" s="635">
        <f>Absences268101214[[#This Row],[debut]]</f>
        <v>0</v>
      </c>
      <c r="AP95" s="13"/>
      <c r="AU95" s="56"/>
      <c r="AV95" s="56"/>
      <c r="AW95" s="56"/>
      <c r="AX95" s="56"/>
      <c r="AY95" s="56"/>
      <c r="AZ95" s="56"/>
      <c r="BA95" s="56"/>
      <c r="BB95" s="960"/>
      <c r="BC95" s="960"/>
      <c r="BD95" s="960"/>
      <c r="BE95" s="960"/>
      <c r="BF95" s="960"/>
    </row>
    <row r="96" spans="1:58" ht="21" x14ac:dyDescent="0.25">
      <c r="A96" s="13"/>
      <c r="B96" s="13"/>
      <c r="C96" s="624" t="s">
        <v>838</v>
      </c>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80</v>
      </c>
      <c r="AL96" s="23"/>
      <c r="AM96" s="31"/>
      <c r="AN96" s="31"/>
      <c r="AO96" s="635">
        <f>Absences268101214[[#This Row],[debut]]</f>
        <v>0</v>
      </c>
      <c r="AP96" s="13"/>
      <c r="AU96" s="56"/>
      <c r="AV96" s="56"/>
      <c r="AW96" s="56"/>
      <c r="AX96" s="56"/>
      <c r="AY96" s="56"/>
      <c r="AZ96" s="56"/>
      <c r="BA96" s="56"/>
      <c r="BB96" s="56"/>
      <c r="BC96" s="56"/>
      <c r="BD96" s="56"/>
      <c r="BE96" s="56"/>
      <c r="BF96" s="56"/>
    </row>
    <row r="97" spans="1:58" ht="16.5" thickBot="1" x14ac:dyDescent="0.3">
      <c r="A97" s="13"/>
      <c r="B97" s="13"/>
      <c r="C97" s="685" t="s">
        <v>37</v>
      </c>
      <c r="D97" s="45" t="s">
        <v>834</v>
      </c>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81</v>
      </c>
      <c r="AL97" s="23"/>
      <c r="AM97" s="31"/>
      <c r="AN97" s="31"/>
      <c r="AO97" s="635">
        <f>Absences268101214[[#This Row],[debut]]</f>
        <v>0</v>
      </c>
      <c r="AP97" s="13"/>
      <c r="AU97" s="389"/>
      <c r="AV97" s="389"/>
      <c r="AW97" s="389"/>
      <c r="AX97" s="389"/>
      <c r="AY97" s="389"/>
      <c r="AZ97" s="389"/>
      <c r="BA97" s="389"/>
      <c r="BB97" s="389"/>
      <c r="BC97" s="389"/>
      <c r="BD97" s="389"/>
      <c r="BE97" s="389"/>
      <c r="BF97" s="389"/>
    </row>
    <row r="98" spans="1:58" ht="16.5" thickBot="1" x14ac:dyDescent="0.3">
      <c r="A98" s="13"/>
      <c r="B98" s="13"/>
      <c r="C98" s="94" t="s">
        <v>79</v>
      </c>
      <c r="D98" s="45" t="s">
        <v>502</v>
      </c>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82</v>
      </c>
      <c r="AL98" s="23"/>
      <c r="AM98" s="31"/>
      <c r="AN98" s="31"/>
      <c r="AO98" s="635">
        <f>Absences268101214[[#This Row],[debut]]</f>
        <v>0</v>
      </c>
      <c r="AP98" s="13"/>
      <c r="AU98" s="386"/>
      <c r="AV98" s="386"/>
      <c r="AW98" s="386"/>
      <c r="AX98" s="386"/>
      <c r="AY98" s="386"/>
      <c r="AZ98" s="386"/>
      <c r="BA98" s="386"/>
      <c r="BB98" s="386"/>
      <c r="BC98" s="386"/>
      <c r="BD98" s="386"/>
      <c r="BE98" s="386"/>
      <c r="BF98" s="386"/>
    </row>
    <row r="99" spans="1:58" x14ac:dyDescent="0.25">
      <c r="A99" s="13"/>
      <c r="B99" s="13"/>
      <c r="C99" s="594" t="s">
        <v>840</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83</v>
      </c>
      <c r="AL99" s="23"/>
      <c r="AM99" s="31"/>
      <c r="AN99" s="31"/>
      <c r="AO99" s="635">
        <f>Absences268101214[[#This Row],[debut]]</f>
        <v>0</v>
      </c>
      <c r="AP99" s="13"/>
      <c r="AU99" s="386"/>
      <c r="AV99" s="386"/>
      <c r="AW99" s="386"/>
      <c r="AX99" s="386"/>
      <c r="AY99" s="386"/>
      <c r="AZ99" s="386"/>
      <c r="BA99" s="386"/>
      <c r="BB99" s="386"/>
      <c r="BC99" s="386"/>
      <c r="BD99" s="386"/>
      <c r="BE99" s="386"/>
      <c r="BF99" s="386"/>
    </row>
    <row r="100" spans="1:58" ht="16.5" thickBot="1" x14ac:dyDescent="0.3">
      <c r="A100" s="13"/>
      <c r="B100" s="13"/>
      <c r="C100" s="42"/>
      <c r="D100" s="45" t="s">
        <v>839</v>
      </c>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v>84</v>
      </c>
      <c r="AL100" s="23"/>
      <c r="AM100" s="31"/>
      <c r="AN100" s="31"/>
      <c r="AO100" s="635">
        <f>Absences268101214[[#This Row],[debut]]</f>
        <v>0</v>
      </c>
      <c r="AP100" s="13"/>
      <c r="AU100" s="386"/>
      <c r="AV100" s="386"/>
      <c r="AW100" s="386"/>
      <c r="AX100" s="386"/>
      <c r="AY100" s="386"/>
      <c r="AZ100" s="386"/>
      <c r="BA100" s="386"/>
      <c r="BB100" s="386"/>
      <c r="BC100" s="386"/>
      <c r="BD100" s="386"/>
      <c r="BE100" s="386"/>
      <c r="BF100" s="386"/>
    </row>
    <row r="101" spans="1:58"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85</v>
      </c>
      <c r="AL101" s="23"/>
      <c r="AM101" s="31"/>
      <c r="AN101" s="31"/>
      <c r="AO101" s="635">
        <f>Absences268101214[[#This Row],[debut]]</f>
        <v>0</v>
      </c>
      <c r="AP101" s="13"/>
      <c r="AU101" s="386"/>
      <c r="AV101" s="386"/>
      <c r="AW101" s="386"/>
      <c r="AX101" s="386"/>
      <c r="AY101" s="386"/>
      <c r="AZ101" s="386"/>
      <c r="BA101" s="386"/>
      <c r="BB101" s="386"/>
      <c r="BC101" s="386"/>
      <c r="BD101" s="386"/>
      <c r="BE101" s="386"/>
      <c r="BF101" s="386"/>
    </row>
    <row r="102" spans="1:58" ht="21" x14ac:dyDescent="0.25">
      <c r="A102" s="13"/>
      <c r="B102" s="18"/>
      <c r="C102" s="625" t="s">
        <v>810</v>
      </c>
      <c r="D102" s="18"/>
      <c r="E102" s="18"/>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86</v>
      </c>
      <c r="AL102" s="23"/>
      <c r="AM102" s="31"/>
      <c r="AN102" s="31"/>
      <c r="AO102" s="635">
        <f>Absences268101214[[#This Row],[debut]]</f>
        <v>0</v>
      </c>
      <c r="AP102" s="13"/>
      <c r="AU102" s="56"/>
      <c r="AV102" s="56"/>
      <c r="AW102" s="56"/>
      <c r="AX102" s="56"/>
      <c r="AY102" s="56"/>
      <c r="AZ102" s="56"/>
      <c r="BA102" s="56"/>
      <c r="BB102" s="56"/>
      <c r="BC102" s="56"/>
      <c r="BD102" s="56"/>
      <c r="BE102" s="56"/>
      <c r="BF102" s="56"/>
    </row>
    <row r="103" spans="1:58" x14ac:dyDescent="0.25">
      <c r="A103" s="13"/>
      <c r="B103" s="13" t="s">
        <v>135</v>
      </c>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87</v>
      </c>
      <c r="AL103" s="23"/>
      <c r="AM103" s="31"/>
      <c r="AN103" s="31"/>
      <c r="AO103" s="635">
        <f>Absences268101214[[#This Row],[debut]]</f>
        <v>0</v>
      </c>
      <c r="AP103" s="13"/>
      <c r="AU103" s="56"/>
      <c r="AV103" s="56"/>
      <c r="AW103" s="56"/>
      <c r="AX103" s="56"/>
      <c r="AY103" s="56"/>
      <c r="AZ103" s="56"/>
      <c r="BA103" s="56"/>
      <c r="BB103" s="56"/>
      <c r="BC103" s="56"/>
      <c r="BD103" s="56"/>
      <c r="BE103" s="56"/>
      <c r="BF103" s="56"/>
    </row>
    <row r="104" spans="1:58" x14ac:dyDescent="0.25">
      <c r="A104" s="13"/>
      <c r="B104" s="13" t="s">
        <v>136</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88</v>
      </c>
      <c r="AL104" s="23"/>
      <c r="AM104" s="31"/>
      <c r="AN104" s="31"/>
      <c r="AO104" s="635">
        <f>Absences268101214[[#This Row],[debut]]</f>
        <v>0</v>
      </c>
      <c r="AP104" s="13"/>
    </row>
    <row r="105" spans="1:58" x14ac:dyDescent="0.25">
      <c r="A105" s="13"/>
      <c r="B105" s="13"/>
      <c r="C105" s="13" t="s">
        <v>36</v>
      </c>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v>89</v>
      </c>
      <c r="AL105" s="23"/>
      <c r="AM105" s="31"/>
      <c r="AN105" s="31"/>
      <c r="AO105" s="635">
        <f>Absences268101214[[#This Row],[debut]]</f>
        <v>0</v>
      </c>
      <c r="AP105" s="13"/>
    </row>
    <row r="106" spans="1:58" x14ac:dyDescent="0.25">
      <c r="A106" s="13"/>
      <c r="B106" s="13"/>
      <c r="C106" s="13" t="s">
        <v>137</v>
      </c>
      <c r="D106" s="13"/>
      <c r="E106" s="13"/>
      <c r="F106" s="18"/>
      <c r="G106" s="18"/>
      <c r="H106" s="18"/>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90</v>
      </c>
      <c r="AL106" s="23"/>
      <c r="AM106" s="31"/>
      <c r="AN106" s="31"/>
      <c r="AO106" s="635">
        <f>Absences268101214[[#This Row],[debut]]</f>
        <v>0</v>
      </c>
      <c r="AP106" s="13"/>
    </row>
    <row r="107" spans="1:58" x14ac:dyDescent="0.25">
      <c r="A107" s="13"/>
      <c r="B107" s="13"/>
      <c r="C107" s="13" t="s">
        <v>138</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91</v>
      </c>
      <c r="AL107" s="23"/>
      <c r="AM107" s="31"/>
      <c r="AN107" s="31"/>
      <c r="AO107" s="635">
        <f>Absences268101214[[#This Row],[debut]]</f>
        <v>0</v>
      </c>
      <c r="AP107" s="13"/>
    </row>
    <row r="108" spans="1:58" x14ac:dyDescent="0.25">
      <c r="A108" s="13"/>
      <c r="B108" s="13"/>
      <c r="C108" s="45" t="s">
        <v>812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92</v>
      </c>
      <c r="AL108" s="23"/>
      <c r="AM108" s="31"/>
      <c r="AN108" s="31"/>
      <c r="AO108" s="635">
        <f>Absences268101214[[#This Row],[debut]]</f>
        <v>0</v>
      </c>
      <c r="AP108" s="13"/>
    </row>
    <row r="109" spans="1:58"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93</v>
      </c>
      <c r="AL109" s="23"/>
      <c r="AM109" s="31"/>
      <c r="AN109" s="31"/>
      <c r="AO109" s="635">
        <f>Absences268101214[[#This Row],[debut]]</f>
        <v>0</v>
      </c>
      <c r="AP109" s="13"/>
    </row>
    <row r="110" spans="1:58" ht="21" x14ac:dyDescent="0.25">
      <c r="A110" s="13"/>
      <c r="B110" s="13"/>
      <c r="C110" s="625" t="s">
        <v>825</v>
      </c>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v>94</v>
      </c>
      <c r="AL110" s="23"/>
      <c r="AM110" s="31"/>
      <c r="AN110" s="31"/>
      <c r="AO110" s="635">
        <f>Absences268101214[[#This Row],[debut]]</f>
        <v>0</v>
      </c>
      <c r="AP110" s="13"/>
    </row>
    <row r="111" spans="1:58"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95</v>
      </c>
      <c r="AL111" s="23"/>
      <c r="AM111" s="31"/>
      <c r="AN111" s="31"/>
      <c r="AO111" s="635">
        <f>Absences268101214[[#This Row],[debut]]</f>
        <v>0</v>
      </c>
      <c r="AP111" s="13"/>
    </row>
    <row r="112" spans="1:58"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96</v>
      </c>
      <c r="AL112" s="23"/>
      <c r="AM112" s="31"/>
      <c r="AN112" s="31"/>
      <c r="AO112" s="635">
        <f>Absences268101214[[#This Row],[debut]]</f>
        <v>0</v>
      </c>
      <c r="AP112" s="13"/>
    </row>
    <row r="113" spans="1:42"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97</v>
      </c>
      <c r="AL113" s="23"/>
      <c r="AM113" s="31"/>
      <c r="AN113" s="31"/>
      <c r="AO113" s="635">
        <f>Absences268101214[[#This Row],[debut]]</f>
        <v>0</v>
      </c>
      <c r="AP113" s="13"/>
    </row>
    <row r="114" spans="1:42"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98</v>
      </c>
      <c r="AL114" s="23"/>
      <c r="AM114" s="31"/>
      <c r="AN114" s="31"/>
      <c r="AO114" s="635">
        <f>Absences268101214[[#This Row],[debut]]</f>
        <v>0</v>
      </c>
      <c r="AP114" s="13"/>
    </row>
    <row r="115" spans="1:42"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v>99</v>
      </c>
      <c r="AL115" s="23"/>
      <c r="AM115" s="31"/>
      <c r="AN115" s="31"/>
      <c r="AO115" s="635">
        <f>Absences268101214[[#This Row],[debut]]</f>
        <v>0</v>
      </c>
      <c r="AP115" s="13"/>
    </row>
    <row r="116" spans="1:42"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100</v>
      </c>
      <c r="AL116" s="23"/>
      <c r="AM116" s="31"/>
      <c r="AN116" s="31"/>
      <c r="AO116" s="635">
        <f>Absences268101214[[#This Row],[debut]]</f>
        <v>0</v>
      </c>
      <c r="AP116" s="13"/>
    </row>
    <row r="117" spans="1:42"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row>
    <row r="118" spans="1:42"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row>
    <row r="119" spans="1:42"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row>
    <row r="120" spans="1:42" x14ac:dyDescent="0.25">
      <c r="A120" s="13"/>
      <c r="AH120" s="13"/>
    </row>
    <row r="121" spans="1:42" x14ac:dyDescent="0.25">
      <c r="AH121" s="13"/>
    </row>
    <row r="122" spans="1:42" ht="15.75" customHeight="1" x14ac:dyDescent="0.25">
      <c r="AH122" s="13"/>
    </row>
    <row r="123" spans="1:42" ht="15.75" customHeight="1" x14ac:dyDescent="0.25">
      <c r="AH123" s="13"/>
    </row>
    <row r="124" spans="1:42" ht="15.75" customHeight="1" x14ac:dyDescent="0.25">
      <c r="C124" s="625" t="s">
        <v>1046</v>
      </c>
      <c r="AH124" s="13"/>
    </row>
    <row r="125" spans="1:42" ht="15.75" customHeight="1" x14ac:dyDescent="0.25">
      <c r="AH125" s="13"/>
    </row>
    <row r="126" spans="1:42" ht="15.75" customHeight="1" x14ac:dyDescent="0.25">
      <c r="AH126" s="13"/>
    </row>
    <row r="127" spans="1:42" ht="15.75" customHeight="1" x14ac:dyDescent="0.25">
      <c r="AH127" s="13"/>
    </row>
    <row r="128" spans="1:42" ht="15.75" customHeight="1" x14ac:dyDescent="0.25">
      <c r="AH128" s="13"/>
    </row>
    <row r="129" spans="34:34" ht="15.75" customHeight="1" x14ac:dyDescent="0.25">
      <c r="AH129" s="13"/>
    </row>
    <row r="130" spans="34:34" ht="15.75" customHeight="1" x14ac:dyDescent="0.25">
      <c r="AH130" s="13"/>
    </row>
    <row r="131" spans="34:34" ht="15.75" customHeight="1" x14ac:dyDescent="0.25">
      <c r="AH131" s="13"/>
    </row>
    <row r="132" spans="34:34" ht="15.75" customHeight="1" x14ac:dyDescent="0.25">
      <c r="AH132" s="13"/>
    </row>
    <row r="133" spans="34:34" ht="15.75" customHeight="1" x14ac:dyDescent="0.25">
      <c r="AH133" s="13"/>
    </row>
    <row r="134" spans="34:34" ht="15.75" customHeight="1" x14ac:dyDescent="0.25">
      <c r="AH134" s="13"/>
    </row>
    <row r="135" spans="34:34" ht="15.75" customHeight="1" x14ac:dyDescent="0.25">
      <c r="AH135" s="13"/>
    </row>
    <row r="136" spans="34:34" ht="15.75" customHeight="1" x14ac:dyDescent="0.25">
      <c r="AH136" s="13"/>
    </row>
    <row r="137" spans="34:34" ht="15.75" customHeight="1" x14ac:dyDescent="0.25">
      <c r="AH137" s="13"/>
    </row>
    <row r="138" spans="34:34" ht="15.75" customHeight="1" x14ac:dyDescent="0.25">
      <c r="AH138" s="13"/>
    </row>
    <row r="139" spans="34:34" ht="15.75" customHeight="1" x14ac:dyDescent="0.25">
      <c r="AH139" s="13"/>
    </row>
    <row r="140" spans="34:34" ht="15.75" customHeight="1" x14ac:dyDescent="0.25">
      <c r="AH140" s="13"/>
    </row>
    <row r="141" spans="34:34" ht="15.75" customHeight="1" x14ac:dyDescent="0.25">
      <c r="AH141" s="13"/>
    </row>
    <row r="142" spans="34:34" ht="15.75" customHeight="1" x14ac:dyDescent="0.25">
      <c r="AH142" s="13"/>
    </row>
    <row r="143" spans="34:34" ht="15.75" customHeight="1" x14ac:dyDescent="0.25">
      <c r="AH143" s="13"/>
    </row>
    <row r="144" spans="34:34" ht="15.75" customHeight="1" x14ac:dyDescent="0.25">
      <c r="AH144" s="13"/>
    </row>
    <row r="145" spans="34:34" ht="15.75" customHeight="1" x14ac:dyDescent="0.25">
      <c r="AH145" s="13"/>
    </row>
    <row r="146" spans="34:34" ht="15.75" customHeight="1" x14ac:dyDescent="0.25">
      <c r="AH146" s="13"/>
    </row>
    <row r="147" spans="34:34" ht="15.75" customHeight="1" x14ac:dyDescent="0.25">
      <c r="AH147" s="13"/>
    </row>
    <row r="148" spans="34:34" ht="15.75" customHeight="1" x14ac:dyDescent="0.25">
      <c r="AH148" s="13"/>
    </row>
    <row r="149" spans="34:34" ht="15.75" customHeight="1" x14ac:dyDescent="0.25">
      <c r="AH149" s="13"/>
    </row>
    <row r="150" spans="34:34" ht="15.75" customHeight="1" x14ac:dyDescent="0.25">
      <c r="AH150" s="13"/>
    </row>
    <row r="151" spans="34:34" ht="15.75" customHeight="1" x14ac:dyDescent="0.25">
      <c r="AH151" s="13"/>
    </row>
    <row r="152" spans="34:34" ht="15.75" customHeight="1" x14ac:dyDescent="0.25">
      <c r="AH152" s="13"/>
    </row>
    <row r="153" spans="34:34" ht="15.75" customHeight="1" x14ac:dyDescent="0.25">
      <c r="AH153" s="13"/>
    </row>
    <row r="154" spans="34:34" ht="15.75" customHeight="1" x14ac:dyDescent="0.25">
      <c r="AH154" s="13"/>
    </row>
    <row r="155" spans="34:34" ht="15.75" customHeight="1" x14ac:dyDescent="0.25">
      <c r="AH155" s="13"/>
    </row>
    <row r="156" spans="34:34" ht="15.75" customHeight="1" x14ac:dyDescent="0.25">
      <c r="AH156" s="13"/>
    </row>
    <row r="157" spans="34:34" ht="15.75" customHeight="1" x14ac:dyDescent="0.25">
      <c r="AH157" s="13"/>
    </row>
    <row r="158" spans="34:34" ht="15.75" customHeight="1" x14ac:dyDescent="0.25">
      <c r="AH158" s="13"/>
    </row>
    <row r="159" spans="34:34" ht="15.75" customHeight="1" x14ac:dyDescent="0.25">
      <c r="AH159" s="13"/>
    </row>
    <row r="160" spans="34:34" ht="15.75" customHeight="1" x14ac:dyDescent="0.25">
      <c r="AH160" s="13"/>
    </row>
    <row r="161" spans="34:34" ht="15.75" customHeight="1" x14ac:dyDescent="0.25">
      <c r="AH161" s="13"/>
    </row>
    <row r="162" spans="34:34" ht="15.75" customHeight="1" x14ac:dyDescent="0.25">
      <c r="AH162" s="13"/>
    </row>
    <row r="163" spans="34:34" ht="15.75" customHeight="1" x14ac:dyDescent="0.25">
      <c r="AH163" s="13"/>
    </row>
    <row r="164" spans="34:34" ht="15.75" customHeight="1" x14ac:dyDescent="0.25">
      <c r="AH164" s="13"/>
    </row>
    <row r="165" spans="34:34" ht="15.75" customHeight="1" x14ac:dyDescent="0.25">
      <c r="AH165" s="13"/>
    </row>
    <row r="166" spans="34:34" ht="15.75" customHeight="1" x14ac:dyDescent="0.25">
      <c r="AH166" s="13"/>
    </row>
    <row r="167" spans="34:34" ht="15.75" customHeight="1" x14ac:dyDescent="0.25">
      <c r="AH167" s="13"/>
    </row>
    <row r="168" spans="34:34" ht="15.75" customHeight="1" x14ac:dyDescent="0.25">
      <c r="AH168" s="13"/>
    </row>
    <row r="169" spans="34:34" ht="15.75" customHeight="1" x14ac:dyDescent="0.25">
      <c r="AH169" s="13"/>
    </row>
    <row r="170" spans="34:34" ht="15.75" customHeight="1" x14ac:dyDescent="0.25">
      <c r="AH170" s="13"/>
    </row>
    <row r="171" spans="34:34" ht="15.75" customHeight="1" x14ac:dyDescent="0.25">
      <c r="AH171" s="13"/>
    </row>
    <row r="172" spans="34:34" ht="15.75" customHeight="1" x14ac:dyDescent="0.25">
      <c r="AH172" s="13"/>
    </row>
    <row r="173" spans="34:34" ht="15.75" customHeight="1" x14ac:dyDescent="0.25">
      <c r="AH173" s="13"/>
    </row>
    <row r="174" spans="34:34" ht="15.75" customHeight="1" x14ac:dyDescent="0.25">
      <c r="AH174" s="13"/>
    </row>
    <row r="175" spans="34:34" ht="15.75" customHeight="1" x14ac:dyDescent="0.25">
      <c r="AH175" s="13"/>
    </row>
    <row r="176" spans="34:34" ht="15.75" customHeight="1" x14ac:dyDescent="0.25">
      <c r="AH176" s="13"/>
    </row>
    <row r="177" spans="34:34" ht="15.75" customHeight="1" x14ac:dyDescent="0.25">
      <c r="AH177" s="13"/>
    </row>
    <row r="178" spans="34:34" ht="15.75" customHeight="1" x14ac:dyDescent="0.25">
      <c r="AH178" s="13"/>
    </row>
    <row r="179" spans="34:34" ht="15.75" customHeight="1" x14ac:dyDescent="0.25">
      <c r="AH179" s="13"/>
    </row>
    <row r="180" spans="34:34" ht="15.75" customHeight="1" x14ac:dyDescent="0.25">
      <c r="AH180" s="13"/>
    </row>
    <row r="181" spans="34:34" ht="15.75" customHeight="1" x14ac:dyDescent="0.25">
      <c r="AH181" s="13"/>
    </row>
    <row r="182" spans="34:34" ht="15.75" customHeight="1" x14ac:dyDescent="0.25">
      <c r="AH182" s="13"/>
    </row>
    <row r="183" spans="34:34" ht="15.75" customHeight="1" x14ac:dyDescent="0.25">
      <c r="AH183" s="13"/>
    </row>
    <row r="184" spans="34:34" ht="15.75" customHeight="1" x14ac:dyDescent="0.25"/>
    <row r="185" spans="34:34" ht="15.75" customHeight="1" x14ac:dyDescent="0.25"/>
    <row r="186" spans="34:34" ht="15.75" customHeight="1" x14ac:dyDescent="0.25"/>
    <row r="187" spans="34:34" ht="15.75" customHeight="1" x14ac:dyDescent="0.25"/>
    <row r="188" spans="34:34" ht="15.75" customHeight="1" x14ac:dyDescent="0.25"/>
    <row r="189" spans="34:34" ht="15.75" customHeight="1" x14ac:dyDescent="0.25"/>
    <row r="190" spans="34:34" ht="15.75" customHeight="1" x14ac:dyDescent="0.25"/>
    <row r="191" spans="34:34" ht="15.75" customHeight="1" x14ac:dyDescent="0.25"/>
    <row r="192" spans="34:34"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sheetData>
  <mergeCells count="35">
    <mergeCell ref="BZ2:CE3"/>
    <mergeCell ref="BZ4:CB4"/>
    <mergeCell ref="CD4:CE4"/>
    <mergeCell ref="CD5:CE5"/>
    <mergeCell ref="BZ20:CB20"/>
    <mergeCell ref="C94:D94"/>
    <mergeCell ref="AQ14:AR14"/>
    <mergeCell ref="AK15:AO15"/>
    <mergeCell ref="A1:AI1"/>
    <mergeCell ref="AU2:BC2"/>
    <mergeCell ref="AU4:BF4"/>
    <mergeCell ref="AU5:AU7"/>
    <mergeCell ref="AX7:BA7"/>
    <mergeCell ref="C93:D93"/>
    <mergeCell ref="C27:AG27"/>
    <mergeCell ref="C33:AG33"/>
    <mergeCell ref="C39:AG39"/>
    <mergeCell ref="AU69:BF70"/>
    <mergeCell ref="AU48:BF50"/>
    <mergeCell ref="AU34:BF36"/>
    <mergeCell ref="AO12:AO13"/>
    <mergeCell ref="C75:AG75"/>
    <mergeCell ref="C2:G3"/>
    <mergeCell ref="I2:Q3"/>
    <mergeCell ref="U2:AG3"/>
    <mergeCell ref="I4:Q7"/>
    <mergeCell ref="C45:AG45"/>
    <mergeCell ref="C9:AG9"/>
    <mergeCell ref="C15:AG15"/>
    <mergeCell ref="C21:AG21"/>
    <mergeCell ref="AU74:BB74"/>
    <mergeCell ref="C51:AG51"/>
    <mergeCell ref="C57:AG57"/>
    <mergeCell ref="C63:AG63"/>
    <mergeCell ref="C69:AG69"/>
  </mergeCells>
  <phoneticPr fontId="27" type="noConversion"/>
  <conditionalFormatting sqref="C10:AG12">
    <cfRule type="expression" dxfId="570" priority="251">
      <formula>OR(C$11=1,C$11=7)</formula>
    </cfRule>
  </conditionalFormatting>
  <conditionalFormatting sqref="C16:AG18">
    <cfRule type="expression" dxfId="569" priority="246">
      <formula>OR(C$17=1,C$17=7)</formula>
    </cfRule>
  </conditionalFormatting>
  <conditionalFormatting sqref="C18:AG18">
    <cfRule type="cellIs" dxfId="568" priority="242" operator="equal">
      <formula>"C"</formula>
    </cfRule>
    <cfRule type="cellIs" dxfId="567" priority="243" operator="equal">
      <formula>"M"</formula>
    </cfRule>
    <cfRule type="cellIs" dxfId="566" priority="244" operator="equal">
      <formula>"RTT"</formula>
    </cfRule>
    <cfRule type="cellIs" dxfId="565" priority="245" operator="equal">
      <formula>"C"</formula>
    </cfRule>
  </conditionalFormatting>
  <conditionalFormatting sqref="C22:AG24">
    <cfRule type="expression" dxfId="564" priority="241">
      <formula>OR(C$23=1,C$23=7)</formula>
    </cfRule>
  </conditionalFormatting>
  <conditionalFormatting sqref="C24:AG24">
    <cfRule type="cellIs" dxfId="563" priority="237" operator="equal">
      <formula>"C"</formula>
    </cfRule>
    <cfRule type="cellIs" dxfId="562" priority="238" operator="equal">
      <formula>"M"</formula>
    </cfRule>
    <cfRule type="cellIs" dxfId="561" priority="239" operator="equal">
      <formula>"RTT"</formula>
    </cfRule>
    <cfRule type="cellIs" dxfId="560" priority="240" operator="equal">
      <formula>"C"</formula>
    </cfRule>
  </conditionalFormatting>
  <conditionalFormatting sqref="C28:AG30">
    <cfRule type="expression" dxfId="559" priority="236">
      <formula>OR(C$29=1,C$29=7)</formula>
    </cfRule>
  </conditionalFormatting>
  <conditionalFormatting sqref="C30:AG30">
    <cfRule type="cellIs" dxfId="558" priority="232" operator="equal">
      <formula>"C"</formula>
    </cfRule>
    <cfRule type="cellIs" dxfId="557" priority="233" operator="equal">
      <formula>"M"</formula>
    </cfRule>
    <cfRule type="cellIs" dxfId="556" priority="234" operator="equal">
      <formula>"RTT"</formula>
    </cfRule>
    <cfRule type="cellIs" dxfId="555" priority="235" operator="equal">
      <formula>"C"</formula>
    </cfRule>
  </conditionalFormatting>
  <conditionalFormatting sqref="C34:AG36">
    <cfRule type="expression" dxfId="554" priority="231">
      <formula>OR(C$35=1,C$35=7)</formula>
    </cfRule>
  </conditionalFormatting>
  <conditionalFormatting sqref="C36:AG36">
    <cfRule type="cellIs" dxfId="553" priority="227" operator="equal">
      <formula>"C"</formula>
    </cfRule>
    <cfRule type="cellIs" dxfId="552" priority="228" operator="equal">
      <formula>"M"</formula>
    </cfRule>
    <cfRule type="cellIs" dxfId="551" priority="229" operator="equal">
      <formula>"RTT"</formula>
    </cfRule>
    <cfRule type="cellIs" dxfId="550" priority="230" operator="equal">
      <formula>"C"</formula>
    </cfRule>
  </conditionalFormatting>
  <conditionalFormatting sqref="C40:AG42">
    <cfRule type="expression" dxfId="549" priority="226">
      <formula>OR(C$41=1,C$41=7)</formula>
    </cfRule>
  </conditionalFormatting>
  <conditionalFormatting sqref="C42:AG42">
    <cfRule type="cellIs" dxfId="548" priority="222" operator="equal">
      <formula>"C"</formula>
    </cfRule>
    <cfRule type="cellIs" dxfId="547" priority="223" operator="equal">
      <formula>"M"</formula>
    </cfRule>
    <cfRule type="cellIs" dxfId="546" priority="224" operator="equal">
      <formula>"RTT"</formula>
    </cfRule>
    <cfRule type="cellIs" dxfId="545" priority="225" operator="equal">
      <formula>"C"</formula>
    </cfRule>
  </conditionalFormatting>
  <conditionalFormatting sqref="C46:AG48">
    <cfRule type="expression" dxfId="544" priority="221">
      <formula>OR(C$47=1,C$47=7)</formula>
    </cfRule>
  </conditionalFormatting>
  <conditionalFormatting sqref="C48:AG48">
    <cfRule type="cellIs" dxfId="543" priority="217" operator="equal">
      <formula>"C"</formula>
    </cfRule>
    <cfRule type="cellIs" dxfId="542" priority="218" operator="equal">
      <formula>"M"</formula>
    </cfRule>
    <cfRule type="cellIs" dxfId="541" priority="219" operator="equal">
      <formula>"RTT"</formula>
    </cfRule>
    <cfRule type="cellIs" dxfId="540" priority="220" operator="equal">
      <formula>"C"</formula>
    </cfRule>
  </conditionalFormatting>
  <conditionalFormatting sqref="C52:AG54">
    <cfRule type="expression" dxfId="539" priority="216">
      <formula>OR(C$53=1,C$53=7)</formula>
    </cfRule>
  </conditionalFormatting>
  <conditionalFormatting sqref="C54:AG54">
    <cfRule type="cellIs" dxfId="538" priority="212" operator="equal">
      <formula>"C"</formula>
    </cfRule>
    <cfRule type="cellIs" dxfId="537" priority="213" operator="equal">
      <formula>"M"</formula>
    </cfRule>
    <cfRule type="cellIs" dxfId="536" priority="214" operator="equal">
      <formula>"RTT"</formula>
    </cfRule>
    <cfRule type="cellIs" dxfId="535" priority="215" operator="equal">
      <formula>"C"</formula>
    </cfRule>
  </conditionalFormatting>
  <conditionalFormatting sqref="C58:AG60">
    <cfRule type="expression" dxfId="534" priority="211">
      <formula>OR(C$59=1,C$59=7)</formula>
    </cfRule>
  </conditionalFormatting>
  <conditionalFormatting sqref="C60:AG60">
    <cfRule type="cellIs" dxfId="533" priority="207" operator="equal">
      <formula>"C"</formula>
    </cfRule>
    <cfRule type="cellIs" dxfId="532" priority="208" operator="equal">
      <formula>"M"</formula>
    </cfRule>
    <cfRule type="cellIs" dxfId="531" priority="209" operator="equal">
      <formula>"RTT"</formula>
    </cfRule>
    <cfRule type="cellIs" dxfId="530" priority="210" operator="equal">
      <formula>"C"</formula>
    </cfRule>
  </conditionalFormatting>
  <conditionalFormatting sqref="C64:AG66">
    <cfRule type="expression" dxfId="529" priority="206">
      <formula>OR(C$65=1,C$65=7)</formula>
    </cfRule>
  </conditionalFormatting>
  <conditionalFormatting sqref="C66:AG66">
    <cfRule type="cellIs" dxfId="528" priority="202" operator="equal">
      <formula>"C"</formula>
    </cfRule>
    <cfRule type="cellIs" dxfId="527" priority="203" operator="equal">
      <formula>"M"</formula>
    </cfRule>
    <cfRule type="cellIs" dxfId="526" priority="204" operator="equal">
      <formula>"RTT"</formula>
    </cfRule>
    <cfRule type="cellIs" dxfId="525" priority="205" operator="equal">
      <formula>"C"</formula>
    </cfRule>
  </conditionalFormatting>
  <conditionalFormatting sqref="C70:AG72">
    <cfRule type="expression" dxfId="524" priority="201">
      <formula>OR(C$71=1,C$71=7)</formula>
    </cfRule>
  </conditionalFormatting>
  <conditionalFormatting sqref="C72:AG72">
    <cfRule type="cellIs" dxfId="523" priority="197" operator="equal">
      <formula>"C"</formula>
    </cfRule>
    <cfRule type="cellIs" dxfId="522" priority="198" operator="equal">
      <formula>"M"</formula>
    </cfRule>
    <cfRule type="cellIs" dxfId="521" priority="199" operator="equal">
      <formula>"RTT"</formula>
    </cfRule>
    <cfRule type="cellIs" dxfId="520" priority="200" operator="equal">
      <formula>"C"</formula>
    </cfRule>
  </conditionalFormatting>
  <conditionalFormatting sqref="C76:AG78">
    <cfRule type="expression" dxfId="519" priority="196">
      <formula>OR(C$77=1,C$77=7)</formula>
    </cfRule>
  </conditionalFormatting>
  <conditionalFormatting sqref="C78:AG78">
    <cfRule type="cellIs" dxfId="518" priority="192" operator="equal">
      <formula>"C"</formula>
    </cfRule>
    <cfRule type="cellIs" dxfId="517" priority="193" operator="equal">
      <formula>"M"</formula>
    </cfRule>
    <cfRule type="cellIs" dxfId="516" priority="194" operator="equal">
      <formula>"RTT"</formula>
    </cfRule>
    <cfRule type="cellIs" dxfId="515" priority="195" operator="equal">
      <formula>"C"</formula>
    </cfRule>
  </conditionalFormatting>
  <conditionalFormatting sqref="AL43">
    <cfRule type="expression" dxfId="514" priority="136">
      <formula>OR(#REF!=1,#REF!=7)</formula>
    </cfRule>
  </conditionalFormatting>
  <conditionalFormatting sqref="AL43">
    <cfRule type="cellIs" dxfId="513" priority="132" operator="equal">
      <formula>"C"</formula>
    </cfRule>
    <cfRule type="cellIs" dxfId="512" priority="133" operator="equal">
      <formula>"M"</formula>
    </cfRule>
    <cfRule type="cellIs" dxfId="511" priority="134" operator="equal">
      <formula>"RTT"</formula>
    </cfRule>
    <cfRule type="cellIs" dxfId="510" priority="135" operator="equal">
      <formula>"C"</formula>
    </cfRule>
  </conditionalFormatting>
  <conditionalFormatting sqref="AI10">
    <cfRule type="cellIs" dxfId="509" priority="107" operator="equal">
      <formula>"C"</formula>
    </cfRule>
    <cfRule type="cellIs" dxfId="508" priority="108" operator="equal">
      <formula>"M"</formula>
    </cfRule>
    <cfRule type="cellIs" dxfId="507" priority="109" operator="equal">
      <formula>"RTT"</formula>
    </cfRule>
    <cfRule type="cellIs" dxfId="506" priority="110" operator="equal">
      <formula>"C"</formula>
    </cfRule>
  </conditionalFormatting>
  <conditionalFormatting sqref="AI10">
    <cfRule type="expression" dxfId="505" priority="111">
      <formula>OR(#REF!=1,#REF!=7)</formula>
    </cfRule>
  </conditionalFormatting>
  <conditionalFormatting sqref="AI16">
    <cfRule type="cellIs" dxfId="504" priority="102" operator="equal">
      <formula>"C"</formula>
    </cfRule>
    <cfRule type="cellIs" dxfId="503" priority="103" operator="equal">
      <formula>"M"</formula>
    </cfRule>
    <cfRule type="cellIs" dxfId="502" priority="104" operator="equal">
      <formula>"RTT"</formula>
    </cfRule>
    <cfRule type="cellIs" dxfId="501" priority="105" operator="equal">
      <formula>"C"</formula>
    </cfRule>
  </conditionalFormatting>
  <conditionalFormatting sqref="AI16">
    <cfRule type="expression" dxfId="500" priority="106">
      <formula>OR(#REF!=1,#REF!=7)</formula>
    </cfRule>
  </conditionalFormatting>
  <conditionalFormatting sqref="AI22">
    <cfRule type="cellIs" dxfId="499" priority="97" operator="equal">
      <formula>"C"</formula>
    </cfRule>
    <cfRule type="cellIs" dxfId="498" priority="98" operator="equal">
      <formula>"M"</formula>
    </cfRule>
    <cfRule type="cellIs" dxfId="497" priority="99" operator="equal">
      <formula>"RTT"</formula>
    </cfRule>
    <cfRule type="cellIs" dxfId="496" priority="100" operator="equal">
      <formula>"C"</formula>
    </cfRule>
  </conditionalFormatting>
  <conditionalFormatting sqref="AI22">
    <cfRule type="expression" dxfId="495" priority="101">
      <formula>OR(#REF!=1,#REF!=7)</formula>
    </cfRule>
  </conditionalFormatting>
  <conditionalFormatting sqref="AI28">
    <cfRule type="cellIs" dxfId="494" priority="92" operator="equal">
      <formula>"C"</formula>
    </cfRule>
    <cfRule type="cellIs" dxfId="493" priority="93" operator="equal">
      <formula>"M"</formula>
    </cfRule>
    <cfRule type="cellIs" dxfId="492" priority="94" operator="equal">
      <formula>"RTT"</formula>
    </cfRule>
    <cfRule type="cellIs" dxfId="491" priority="95" operator="equal">
      <formula>"C"</formula>
    </cfRule>
  </conditionalFormatting>
  <conditionalFormatting sqref="AI28">
    <cfRule type="expression" dxfId="490" priority="96">
      <formula>OR(#REF!=1,#REF!=7)</formula>
    </cfRule>
  </conditionalFormatting>
  <conditionalFormatting sqref="AI34">
    <cfRule type="cellIs" dxfId="489" priority="87" operator="equal">
      <formula>"C"</formula>
    </cfRule>
    <cfRule type="cellIs" dxfId="488" priority="88" operator="equal">
      <formula>"M"</formula>
    </cfRule>
    <cfRule type="cellIs" dxfId="487" priority="89" operator="equal">
      <formula>"RTT"</formula>
    </cfRule>
    <cfRule type="cellIs" dxfId="486" priority="90" operator="equal">
      <formula>"C"</formula>
    </cfRule>
  </conditionalFormatting>
  <conditionalFormatting sqref="AI34">
    <cfRule type="expression" dxfId="485" priority="91">
      <formula>OR(#REF!=1,#REF!=7)</formula>
    </cfRule>
  </conditionalFormatting>
  <conditionalFormatting sqref="AI40">
    <cfRule type="cellIs" dxfId="484" priority="82" operator="equal">
      <formula>"C"</formula>
    </cfRule>
    <cfRule type="cellIs" dxfId="483" priority="83" operator="equal">
      <formula>"M"</formula>
    </cfRule>
    <cfRule type="cellIs" dxfId="482" priority="84" operator="equal">
      <formula>"RTT"</formula>
    </cfRule>
    <cfRule type="cellIs" dxfId="481" priority="85" operator="equal">
      <formula>"C"</formula>
    </cfRule>
  </conditionalFormatting>
  <conditionalFormatting sqref="AI40">
    <cfRule type="expression" dxfId="480" priority="86">
      <formula>OR(#REF!=1,#REF!=7)</formula>
    </cfRule>
  </conditionalFormatting>
  <conditionalFormatting sqref="AI46">
    <cfRule type="cellIs" dxfId="479" priority="77" operator="equal">
      <formula>"C"</formula>
    </cfRule>
    <cfRule type="cellIs" dxfId="478" priority="78" operator="equal">
      <formula>"M"</formula>
    </cfRule>
    <cfRule type="cellIs" dxfId="477" priority="79" operator="equal">
      <formula>"RTT"</formula>
    </cfRule>
    <cfRule type="cellIs" dxfId="476" priority="80" operator="equal">
      <formula>"C"</formula>
    </cfRule>
  </conditionalFormatting>
  <conditionalFormatting sqref="AI46">
    <cfRule type="expression" dxfId="475" priority="81">
      <formula>OR(#REF!=1,#REF!=7)</formula>
    </cfRule>
  </conditionalFormatting>
  <conditionalFormatting sqref="AI52">
    <cfRule type="cellIs" dxfId="474" priority="72" operator="equal">
      <formula>"C"</formula>
    </cfRule>
    <cfRule type="cellIs" dxfId="473" priority="73" operator="equal">
      <formula>"M"</formula>
    </cfRule>
    <cfRule type="cellIs" dxfId="472" priority="74" operator="equal">
      <formula>"RTT"</formula>
    </cfRule>
    <cfRule type="cellIs" dxfId="471" priority="75" operator="equal">
      <formula>"C"</formula>
    </cfRule>
  </conditionalFormatting>
  <conditionalFormatting sqref="AI52">
    <cfRule type="expression" dxfId="470" priority="76">
      <formula>OR(#REF!=1,#REF!=7)</formula>
    </cfRule>
  </conditionalFormatting>
  <conditionalFormatting sqref="AI58">
    <cfRule type="cellIs" dxfId="469" priority="67" operator="equal">
      <formula>"C"</formula>
    </cfRule>
    <cfRule type="cellIs" dxfId="468" priority="68" operator="equal">
      <formula>"M"</formula>
    </cfRule>
    <cfRule type="cellIs" dxfId="467" priority="69" operator="equal">
      <formula>"RTT"</formula>
    </cfRule>
    <cfRule type="cellIs" dxfId="466" priority="70" operator="equal">
      <formula>"C"</formula>
    </cfRule>
  </conditionalFormatting>
  <conditionalFormatting sqref="AI58">
    <cfRule type="expression" dxfId="465" priority="71">
      <formula>OR(#REF!=1,#REF!=7)</formula>
    </cfRule>
  </conditionalFormatting>
  <conditionalFormatting sqref="AI64">
    <cfRule type="cellIs" dxfId="464" priority="62" operator="equal">
      <formula>"C"</formula>
    </cfRule>
    <cfRule type="cellIs" dxfId="463" priority="63" operator="equal">
      <formula>"M"</formula>
    </cfRule>
    <cfRule type="cellIs" dxfId="462" priority="64" operator="equal">
      <formula>"RTT"</formula>
    </cfRule>
    <cfRule type="cellIs" dxfId="461" priority="65" operator="equal">
      <formula>"C"</formula>
    </cfRule>
  </conditionalFormatting>
  <conditionalFormatting sqref="AI64">
    <cfRule type="expression" dxfId="460" priority="66">
      <formula>OR(#REF!=1,#REF!=7)</formula>
    </cfRule>
  </conditionalFormatting>
  <conditionalFormatting sqref="AI70">
    <cfRule type="cellIs" dxfId="459" priority="57" operator="equal">
      <formula>"C"</formula>
    </cfRule>
    <cfRule type="cellIs" dxfId="458" priority="58" operator="equal">
      <formula>"M"</formula>
    </cfRule>
    <cfRule type="cellIs" dxfId="457" priority="59" operator="equal">
      <formula>"RTT"</formula>
    </cfRule>
    <cfRule type="cellIs" dxfId="456" priority="60" operator="equal">
      <formula>"C"</formula>
    </cfRule>
  </conditionalFormatting>
  <conditionalFormatting sqref="AI70">
    <cfRule type="expression" dxfId="455" priority="61">
      <formula>OR(#REF!=1,#REF!=7)</formula>
    </cfRule>
  </conditionalFormatting>
  <conditionalFormatting sqref="AI76">
    <cfRule type="cellIs" dxfId="454" priority="52" operator="equal">
      <formula>"C"</formula>
    </cfRule>
    <cfRule type="cellIs" dxfId="453" priority="53" operator="equal">
      <formula>"M"</formula>
    </cfRule>
    <cfRule type="cellIs" dxfId="452" priority="54" operator="equal">
      <formula>"RTT"</formula>
    </cfRule>
    <cfRule type="cellIs" dxfId="451" priority="55" operator="equal">
      <formula>"C"</formula>
    </cfRule>
  </conditionalFormatting>
  <conditionalFormatting sqref="AI76">
    <cfRule type="expression" dxfId="450" priority="56">
      <formula>OR(#REF!=1,#REF!=7)</formula>
    </cfRule>
  </conditionalFormatting>
  <conditionalFormatting sqref="C7">
    <cfRule type="cellIs" dxfId="449" priority="47" operator="equal">
      <formula>"C"</formula>
    </cfRule>
    <cfRule type="cellIs" dxfId="448" priority="48" operator="equal">
      <formula>"M"</formula>
    </cfRule>
    <cfRule type="cellIs" dxfId="447" priority="49" operator="equal">
      <formula>"RTT"</formula>
    </cfRule>
    <cfRule type="cellIs" dxfId="446" priority="50" operator="equal">
      <formula>"C"</formula>
    </cfRule>
  </conditionalFormatting>
  <conditionalFormatting sqref="C7">
    <cfRule type="expression" dxfId="445" priority="51">
      <formula>OR(#REF!=1,#REF!=7)</formula>
    </cfRule>
  </conditionalFormatting>
  <conditionalFormatting sqref="AR21">
    <cfRule type="cellIs" dxfId="444" priority="37" operator="equal">
      <formula>"C"</formula>
    </cfRule>
    <cfRule type="cellIs" dxfId="443" priority="38" operator="equal">
      <formula>"M"</formula>
    </cfRule>
    <cfRule type="cellIs" dxfId="442" priority="39" operator="equal">
      <formula>"RTT"</formula>
    </cfRule>
    <cfRule type="cellIs" dxfId="441" priority="40" operator="equal">
      <formula>"C"</formula>
    </cfRule>
  </conditionalFormatting>
  <conditionalFormatting sqref="AR21">
    <cfRule type="expression" dxfId="440" priority="41">
      <formula>OR(#REF!=1,#REF!=7)</formula>
    </cfRule>
  </conditionalFormatting>
  <conditionalFormatting sqref="AL30">
    <cfRule type="cellIs" dxfId="439" priority="22" operator="equal">
      <formula>"C"</formula>
    </cfRule>
    <cfRule type="cellIs" dxfId="438" priority="23" operator="equal">
      <formula>"M"</formula>
    </cfRule>
    <cfRule type="cellIs" dxfId="437" priority="24" operator="equal">
      <formula>"RTT"</formula>
    </cfRule>
    <cfRule type="cellIs" dxfId="436" priority="25" operator="equal">
      <formula>"C"</formula>
    </cfRule>
  </conditionalFormatting>
  <conditionalFormatting sqref="AL30">
    <cfRule type="expression" dxfId="435" priority="26">
      <formula>OR(#REF!=1,#REF!=7)</formula>
    </cfRule>
  </conditionalFormatting>
  <conditionalFormatting sqref="AL22">
    <cfRule type="cellIs" dxfId="434" priority="27" operator="equal">
      <formula>"C"</formula>
    </cfRule>
    <cfRule type="cellIs" dxfId="433" priority="28" operator="equal">
      <formula>"M"</formula>
    </cfRule>
    <cfRule type="cellIs" dxfId="432" priority="29" operator="equal">
      <formula>"RTT"</formula>
    </cfRule>
    <cfRule type="cellIs" dxfId="431" priority="30" operator="equal">
      <formula>"C"</formula>
    </cfRule>
  </conditionalFormatting>
  <conditionalFormatting sqref="AL22">
    <cfRule type="expression" dxfId="430" priority="31">
      <formula>OR(#REF!=1,#REF!=7)</formula>
    </cfRule>
  </conditionalFormatting>
  <conditionalFormatting sqref="CA21:CA34">
    <cfRule type="expression" dxfId="429" priority="18" stopIfTrue="1">
      <formula>WEEKDAY(CA21,2)=6</formula>
    </cfRule>
    <cfRule type="expression" dxfId="428" priority="19" stopIfTrue="1">
      <formula>WEEKDAY(CA21,2)=7</formula>
    </cfRule>
  </conditionalFormatting>
  <conditionalFormatting sqref="CA5:CA18">
    <cfRule type="expression" dxfId="427" priority="20" stopIfTrue="1">
      <formula>WEEKDAY(CA5,2)=6</formula>
    </cfRule>
    <cfRule type="expression" dxfId="426" priority="21" stopIfTrue="1">
      <formula>WEEKDAY(CA5,2)=7</formula>
    </cfRule>
  </conditionalFormatting>
  <conditionalFormatting sqref="C10:AG11">
    <cfRule type="expression" dxfId="425" priority="17">
      <formula>C$8=VLOOKUP(C$8,$BZ$5:$CA$18,2,0)</formula>
    </cfRule>
  </conditionalFormatting>
  <conditionalFormatting sqref="C16:AG17">
    <cfRule type="expression" dxfId="424" priority="16">
      <formula>C$14=VLOOKUP(C$14,$BZ$5:$CA$18,2,0)</formula>
    </cfRule>
  </conditionalFormatting>
  <conditionalFormatting sqref="C22:AG23">
    <cfRule type="expression" dxfId="423" priority="15">
      <formula>C$20=VLOOKUP(C$20,$BZ$5:$CA$18,2,0)</formula>
    </cfRule>
  </conditionalFormatting>
  <conditionalFormatting sqref="C28:AG29">
    <cfRule type="expression" dxfId="422" priority="14">
      <formula>C$26=VLOOKUP(C$26,$BZ$5:$CA$18,2,0)</formula>
    </cfRule>
  </conditionalFormatting>
  <conditionalFormatting sqref="C34:AG35">
    <cfRule type="expression" dxfId="421" priority="13">
      <formula>C$32=VLOOKUP(C$32,$BZ$5:$CA$18,2,0)</formula>
    </cfRule>
  </conditionalFormatting>
  <conditionalFormatting sqref="C40:AG41">
    <cfRule type="expression" dxfId="420" priority="12">
      <formula>C$38=VLOOKUP(C$38,$BZ$5:$CA$18,2,0)</formula>
    </cfRule>
  </conditionalFormatting>
  <conditionalFormatting sqref="C46:AG47">
    <cfRule type="expression" dxfId="419" priority="11">
      <formula>C$44=VLOOKUP(C$44,$BZ$5:$CA$18,2,0)</formula>
    </cfRule>
  </conditionalFormatting>
  <conditionalFormatting sqref="C52:AG53">
    <cfRule type="expression" dxfId="418" priority="10">
      <formula>C$50=VLOOKUP(C$50,$BZ$5:$CA$18,2,0)</formula>
    </cfRule>
  </conditionalFormatting>
  <conditionalFormatting sqref="C58:AG59">
    <cfRule type="expression" dxfId="417" priority="9">
      <formula>C$56=VLOOKUP(C$56,$BZ$5:$CA$18,2,0)</formula>
    </cfRule>
  </conditionalFormatting>
  <conditionalFormatting sqref="C64:AG65">
    <cfRule type="expression" dxfId="416" priority="8">
      <formula>C$62=VLOOKUP(C$62,$BZ$5:$CA$18,2,0)</formula>
    </cfRule>
  </conditionalFormatting>
  <conditionalFormatting sqref="C70:AG71">
    <cfRule type="expression" dxfId="415" priority="7">
      <formula>C$68=VLOOKUP(C$68,$BZ$5:$CA$18,2,0)</formula>
    </cfRule>
  </conditionalFormatting>
  <conditionalFormatting sqref="C76:AG77">
    <cfRule type="expression" dxfId="414" priority="6">
      <formula>C$74=VLOOKUP(C$74,$BZ$5:$CA$18,2,0)</formula>
    </cfRule>
  </conditionalFormatting>
  <conditionalFormatting sqref="C12:AG12 C18:AG18 C24:AG24 C30:AG30 C36:AG36 C42:AG42 C48:AG48 C54:AG54 C60:AG60 C66:AG66 C72:AG72 C78:AG78">
    <cfRule type="cellIs" dxfId="413" priority="1" operator="equal">
      <formula>$C$5</formula>
    </cfRule>
    <cfRule type="cellIs" dxfId="412" priority="2" operator="equal">
      <formula>$E$7</formula>
    </cfRule>
    <cfRule type="cellIs" dxfId="411" priority="3" operator="equal">
      <formula>$E$4</formula>
    </cfRule>
    <cfRule type="cellIs" dxfId="410" priority="4" operator="equal">
      <formula>$C$4</formula>
    </cfRule>
    <cfRule type="cellIs" dxfId="409" priority="5" operator="equal">
      <formula>$E$6</formula>
    </cfRule>
    <cfRule type="cellIs" dxfId="408" priority="247" operator="equal">
      <formula>$E$5</formula>
    </cfRule>
    <cfRule type="cellIs" dxfId="407" priority="248" operator="equal">
      <formula>$C$7</formula>
    </cfRule>
    <cfRule type="cellIs" dxfId="406" priority="249" operator="equal">
      <formula>$C$6</formula>
    </cfRule>
    <cfRule type="cellIs" dxfId="405" priority="250" operator="equal">
      <formula>$E$5</formula>
    </cfRule>
  </conditionalFormatting>
  <dataValidations count="1">
    <dataValidation type="list" allowBlank="1" showInputMessage="1" showErrorMessage="1" sqref="M86:N86 AL31:AL116" xr:uid="{DD1953CA-FB5A-4020-90CC-A73ED377C00F}">
      <formula1>$I$3:$I$3</formula1>
    </dataValidation>
  </dataValidations>
  <hyperlinks>
    <hyperlink ref="U5" r:id="rId1" xr:uid="{69BA4CE4-2277-4B24-B599-CA4D574B5CDE}"/>
  </hyperlinks>
  <pageMargins left="0.7" right="0.7" top="0.75" bottom="0.75" header="0.3" footer="0.3"/>
  <pageSetup paperSize="9" orientation="portrait" r:id="rId2"/>
  <drawing r:id="rId3"/>
  <legacyDrawing r:id="rId4"/>
  <tableParts count="2">
    <tablePart r:id="rId5"/>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1425E-AF68-4690-9432-D39034C580DB}">
  <sheetPr codeName="Feuil5"/>
  <dimension ref="A1:CE238"/>
  <sheetViews>
    <sheetView zoomScaleNormal="100" workbookViewId="0">
      <selection activeCell="AA19" sqref="AA19"/>
    </sheetView>
  </sheetViews>
  <sheetFormatPr baseColWidth="10" defaultRowHeight="15.75" x14ac:dyDescent="0.25"/>
  <cols>
    <col min="1" max="1" width="3.625" customWidth="1"/>
    <col min="3" max="33" width="5.625" customWidth="1"/>
    <col min="40" max="40" width="15.125" customWidth="1"/>
    <col min="41" max="41" width="14.125" customWidth="1"/>
    <col min="43" max="43" width="27.375" customWidth="1"/>
    <col min="44" max="44" width="9.75" customWidth="1"/>
    <col min="47" max="49" width="9.375" style="58" customWidth="1"/>
    <col min="50" max="50" width="3.625" style="58" customWidth="1"/>
    <col min="51" max="57" width="9.375" style="58" customWidth="1"/>
    <col min="58" max="58" width="32.25" style="58" customWidth="1"/>
    <col min="60" max="60" width="3" style="289" customWidth="1"/>
    <col min="61" max="61" width="8.25" style="289" customWidth="1"/>
    <col min="62" max="62" width="7.625" style="289" customWidth="1"/>
    <col min="63" max="63" width="12.125" style="289" customWidth="1"/>
    <col min="64" max="64" width="11.875" style="289" customWidth="1"/>
    <col min="65" max="69" width="7.625" style="289" customWidth="1"/>
    <col min="70" max="70" width="8.75" style="289" customWidth="1"/>
    <col min="71" max="71" width="7.875" style="289" customWidth="1"/>
    <col min="72" max="72" width="4" style="289" customWidth="1"/>
    <col min="73" max="73" width="12.5" style="289" customWidth="1"/>
    <col min="74" max="74" width="13.375" style="289" customWidth="1"/>
    <col min="75" max="75" width="3.625" style="289" customWidth="1"/>
    <col min="78" max="78" width="17.5" customWidth="1"/>
    <col min="79" max="79" width="42.25" customWidth="1"/>
    <col min="80" max="80" width="27.75" customWidth="1"/>
    <col min="82" max="82" width="18" customWidth="1"/>
    <col min="83" max="83" width="21.625" customWidth="1"/>
  </cols>
  <sheetData>
    <row r="1" spans="1:83" ht="23.25" x14ac:dyDescent="0.25">
      <c r="A1" s="1483" t="s">
        <v>680</v>
      </c>
      <c r="B1" s="1484"/>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5"/>
      <c r="AJ1" s="13"/>
      <c r="AK1" s="672" t="s">
        <v>841</v>
      </c>
      <c r="AL1" s="13"/>
      <c r="AM1" s="13"/>
      <c r="AN1" s="13"/>
      <c r="AO1" s="13"/>
      <c r="AP1" s="13"/>
      <c r="AQ1" s="13"/>
      <c r="AR1" s="13"/>
      <c r="AS1" s="13"/>
      <c r="AT1" s="13"/>
    </row>
    <row r="2" spans="1:83" ht="23.25" customHeight="1" x14ac:dyDescent="0.25">
      <c r="A2" s="13"/>
      <c r="B2" s="13"/>
      <c r="C2" s="1467">
        <v>2020</v>
      </c>
      <c r="D2" s="1467"/>
      <c r="E2" s="1467"/>
      <c r="F2" s="1467"/>
      <c r="G2" s="1467"/>
      <c r="H2" s="13"/>
      <c r="I2" s="1487" t="s">
        <v>831</v>
      </c>
      <c r="J2" s="1487"/>
      <c r="K2" s="1487"/>
      <c r="L2" s="1487"/>
      <c r="M2" s="1487"/>
      <c r="N2" s="1487"/>
      <c r="O2" s="1487"/>
      <c r="P2" s="1487"/>
      <c r="Q2" s="1487"/>
      <c r="R2" s="34"/>
      <c r="S2" s="13"/>
      <c r="T2" s="13"/>
      <c r="U2" s="1488" t="s">
        <v>4</v>
      </c>
      <c r="V2" s="1488"/>
      <c r="W2" s="1488"/>
      <c r="X2" s="1488"/>
      <c r="Y2" s="1488"/>
      <c r="Z2" s="1488"/>
      <c r="AA2" s="1488"/>
      <c r="AB2" s="1488"/>
      <c r="AC2" s="1488"/>
      <c r="AD2" s="1488"/>
      <c r="AE2" s="1488"/>
      <c r="AF2" s="1488"/>
      <c r="AG2" s="1488"/>
      <c r="AH2" s="13"/>
      <c r="AI2" s="36"/>
      <c r="AJ2" s="13"/>
      <c r="AK2" s="44" t="s">
        <v>832</v>
      </c>
      <c r="AL2" s="13"/>
      <c r="AM2" s="13"/>
      <c r="AN2" s="13"/>
      <c r="AO2" s="13"/>
      <c r="AP2" s="13"/>
      <c r="AQ2" s="13"/>
      <c r="AR2" s="13"/>
      <c r="AS2" s="13"/>
      <c r="AT2" s="13"/>
      <c r="AU2" s="1502" t="s">
        <v>149</v>
      </c>
      <c r="AV2" s="1503"/>
      <c r="AW2" s="1503"/>
      <c r="AX2" s="1503"/>
      <c r="AY2" s="1503"/>
      <c r="AZ2" s="1503"/>
      <c r="BA2" s="1503"/>
      <c r="BB2" s="1503"/>
      <c r="BC2" s="1503"/>
      <c r="BD2" s="65"/>
      <c r="BE2" s="74" t="s">
        <v>57</v>
      </c>
      <c r="BF2" s="66">
        <f ca="1">NOW()</f>
        <v>44232.80612465278</v>
      </c>
      <c r="BH2" s="1090" t="s">
        <v>680</v>
      </c>
      <c r="BI2" s="1091"/>
      <c r="BJ2" s="1092"/>
      <c r="BK2" s="1092"/>
      <c r="BL2" s="1092"/>
      <c r="BM2" s="1092"/>
      <c r="BN2" s="1092"/>
      <c r="BO2" s="1092"/>
      <c r="BP2" s="1092"/>
      <c r="BQ2" s="1092"/>
      <c r="BR2" s="1092"/>
      <c r="BS2" s="1092"/>
      <c r="BT2" s="1092"/>
      <c r="BU2" s="1092"/>
      <c r="BV2" s="1092"/>
      <c r="BW2" s="1093"/>
      <c r="BZ2" s="1489" t="s">
        <v>892</v>
      </c>
      <c r="CA2" s="1489"/>
      <c r="CB2" s="1489"/>
      <c r="CC2" s="1489"/>
      <c r="CD2" s="1489"/>
      <c r="CE2" s="1489"/>
    </row>
    <row r="3" spans="1:83" ht="15.75" customHeight="1" x14ac:dyDescent="0.25">
      <c r="A3" s="13"/>
      <c r="B3" s="13"/>
      <c r="C3" s="1467"/>
      <c r="D3" s="1467"/>
      <c r="E3" s="1467"/>
      <c r="F3" s="1467"/>
      <c r="G3" s="1467"/>
      <c r="H3" s="13"/>
      <c r="I3" s="1487"/>
      <c r="J3" s="1487"/>
      <c r="K3" s="1487"/>
      <c r="L3" s="1487"/>
      <c r="M3" s="1487"/>
      <c r="N3" s="1487"/>
      <c r="O3" s="1487"/>
      <c r="P3" s="1487"/>
      <c r="Q3" s="1487"/>
      <c r="R3" s="34"/>
      <c r="S3" s="13"/>
      <c r="T3" s="13"/>
      <c r="U3" s="1488"/>
      <c r="V3" s="1488"/>
      <c r="W3" s="1488"/>
      <c r="X3" s="1488"/>
      <c r="Y3" s="1488"/>
      <c r="Z3" s="1488"/>
      <c r="AA3" s="1488"/>
      <c r="AB3" s="1488"/>
      <c r="AC3" s="1488"/>
      <c r="AD3" s="1488"/>
      <c r="AE3" s="1488"/>
      <c r="AF3" s="1488"/>
      <c r="AG3" s="1488"/>
      <c r="AH3" s="13"/>
      <c r="AI3" s="36"/>
      <c r="AJ3" s="13"/>
      <c r="AK3" s="44" t="s">
        <v>489</v>
      </c>
      <c r="AL3" s="13"/>
      <c r="AM3" s="13"/>
      <c r="AN3" s="13"/>
      <c r="AO3" s="13"/>
      <c r="AP3" s="13"/>
      <c r="AQ3" s="13"/>
      <c r="AR3" s="13"/>
      <c r="AS3" s="13"/>
      <c r="AT3" s="13"/>
      <c r="AU3" s="47"/>
      <c r="AV3" s="47"/>
      <c r="AW3" s="47"/>
      <c r="AX3" s="47"/>
      <c r="AY3" s="47"/>
      <c r="AZ3" s="48"/>
      <c r="BA3" s="48"/>
      <c r="BB3" s="48"/>
      <c r="BC3" s="56"/>
      <c r="BD3" s="56"/>
      <c r="BE3" s="56"/>
      <c r="BF3" s="56"/>
      <c r="BH3" s="274" t="s">
        <v>506</v>
      </c>
      <c r="BI3" s="275"/>
      <c r="BJ3" s="1080" t="s">
        <v>650</v>
      </c>
      <c r="BK3" s="1080"/>
      <c r="BL3" s="1080"/>
      <c r="BM3" s="1080"/>
      <c r="BN3" s="1081"/>
      <c r="BO3" s="276" t="s">
        <v>507</v>
      </c>
      <c r="BP3" s="277"/>
      <c r="BQ3" s="683"/>
      <c r="BR3" s="1080" t="s">
        <v>683</v>
      </c>
      <c r="BS3" s="1080"/>
      <c r="BT3" s="1080"/>
      <c r="BU3" s="1080"/>
      <c r="BV3" s="1080"/>
      <c r="BW3" s="1084"/>
      <c r="BZ3" s="1489"/>
      <c r="CA3" s="1489"/>
      <c r="CB3" s="1489"/>
      <c r="CC3" s="1489"/>
      <c r="CD3" s="1489"/>
      <c r="CE3" s="1489"/>
    </row>
    <row r="4" spans="1:83" ht="15.75" customHeight="1" thickBot="1" x14ac:dyDescent="0.3">
      <c r="A4" s="13"/>
      <c r="B4" s="660"/>
      <c r="C4" s="662"/>
      <c r="D4" s="665"/>
      <c r="E4" s="638" t="s">
        <v>362</v>
      </c>
      <c r="F4" s="665">
        <f>SUM(AH12,AH18,AH24,AH30,AH36,AH42,AH48,AH54,AH60,AH66,AH72,AH78)</f>
        <v>0</v>
      </c>
      <c r="G4" s="668" t="s">
        <v>820</v>
      </c>
      <c r="H4" s="13"/>
      <c r="I4" s="1508" t="s">
        <v>844</v>
      </c>
      <c r="J4" s="1508"/>
      <c r="K4" s="1508"/>
      <c r="L4" s="1508"/>
      <c r="M4" s="1508"/>
      <c r="N4" s="1508"/>
      <c r="O4" s="1508"/>
      <c r="P4" s="1508"/>
      <c r="Q4" s="1508"/>
      <c r="R4" s="13"/>
      <c r="S4" s="13"/>
      <c r="T4" s="13"/>
      <c r="U4" s="13"/>
      <c r="V4" s="13"/>
      <c r="W4" s="13"/>
      <c r="X4" s="13"/>
      <c r="Y4" s="13"/>
      <c r="Z4" s="13"/>
      <c r="AA4" s="13"/>
      <c r="AB4" s="13"/>
      <c r="AC4" s="13"/>
      <c r="AD4" s="13"/>
      <c r="AE4" s="13"/>
      <c r="AF4" s="13"/>
      <c r="AG4" s="16" t="s">
        <v>52</v>
      </c>
      <c r="AH4" s="13"/>
      <c r="AI4" s="594"/>
      <c r="AJ4" s="13"/>
      <c r="AK4" s="44" t="s">
        <v>113</v>
      </c>
      <c r="AL4" s="13"/>
      <c r="AM4" s="13"/>
      <c r="AN4" s="13"/>
      <c r="AO4" s="13"/>
      <c r="AP4" s="13"/>
      <c r="AQ4" s="13"/>
      <c r="AR4" s="13"/>
      <c r="AS4" s="13"/>
      <c r="AT4" s="13"/>
      <c r="AU4" s="1504" t="s">
        <v>779</v>
      </c>
      <c r="AV4" s="1504"/>
      <c r="AW4" s="1504"/>
      <c r="AX4" s="1504"/>
      <c r="AY4" s="1504"/>
      <c r="AZ4" s="1504"/>
      <c r="BA4" s="1504"/>
      <c r="BB4" s="1504"/>
      <c r="BC4" s="1504"/>
      <c r="BD4" s="1504"/>
      <c r="BE4" s="1504"/>
      <c r="BF4" s="1504"/>
      <c r="BH4" s="278" t="s">
        <v>651</v>
      </c>
      <c r="BI4" s="279"/>
      <c r="BJ4" s="1082" t="s">
        <v>681</v>
      </c>
      <c r="BK4" s="1082"/>
      <c r="BL4" s="1082"/>
      <c r="BM4" s="1082"/>
      <c r="BN4" s="1083"/>
      <c r="BO4" s="280" t="s">
        <v>652</v>
      </c>
      <c r="BP4" s="281"/>
      <c r="BQ4" s="684"/>
      <c r="BR4" s="1082" t="s">
        <v>653</v>
      </c>
      <c r="BS4" s="1082"/>
      <c r="BT4" s="1082"/>
      <c r="BU4" s="1082"/>
      <c r="BV4" s="1082"/>
      <c r="BW4" s="1085"/>
      <c r="BZ4" s="1490">
        <f>C2</f>
        <v>2020</v>
      </c>
      <c r="CA4" s="1491"/>
      <c r="CB4" s="1492"/>
      <c r="CC4" s="563"/>
      <c r="CD4" s="1493">
        <f>BZ20+1</f>
        <v>2022</v>
      </c>
      <c r="CE4" s="1494"/>
    </row>
    <row r="5" spans="1:83" ht="18.75" customHeight="1" x14ac:dyDescent="0.25">
      <c r="A5" s="13"/>
      <c r="B5" s="660" t="s">
        <v>818</v>
      </c>
      <c r="C5" s="663" t="s">
        <v>800</v>
      </c>
      <c r="D5" s="665">
        <f>SUM(B11,B17,B23,B29,B35,B41,B47,B53,B59,B65,B71,B77)</f>
        <v>7</v>
      </c>
      <c r="E5" s="666" t="s">
        <v>7</v>
      </c>
      <c r="F5" s="665">
        <f>SUM(B12,B18,B24,B30,B36,B42,B48,B54,B60,B66,B72,B78)</f>
        <v>4</v>
      </c>
      <c r="G5" s="669" t="s">
        <v>700</v>
      </c>
      <c r="H5" s="13"/>
      <c r="I5" s="1508"/>
      <c r="J5" s="1508"/>
      <c r="K5" s="1508"/>
      <c r="L5" s="1508"/>
      <c r="M5" s="1508"/>
      <c r="N5" s="1508"/>
      <c r="O5" s="1508"/>
      <c r="P5" s="1508"/>
      <c r="Q5" s="1508"/>
      <c r="R5" s="13"/>
      <c r="S5" s="13"/>
      <c r="T5" s="15" t="s">
        <v>53</v>
      </c>
      <c r="U5" s="17" t="s">
        <v>35</v>
      </c>
      <c r="V5" s="18"/>
      <c r="W5" s="18"/>
      <c r="X5" s="13"/>
      <c r="Y5" s="13"/>
      <c r="Z5" s="13"/>
      <c r="AA5" s="13"/>
      <c r="AB5" s="13"/>
      <c r="AC5" s="13"/>
      <c r="AD5" s="13"/>
      <c r="AE5" s="13"/>
      <c r="AF5" s="13"/>
      <c r="AG5" s="13"/>
      <c r="AH5" s="13"/>
      <c r="AI5" s="13"/>
      <c r="AJ5" s="674"/>
      <c r="AK5" s="44" t="s">
        <v>114</v>
      </c>
      <c r="AL5" s="13"/>
      <c r="AM5" s="13"/>
      <c r="AN5" s="13"/>
      <c r="AO5" s="13"/>
      <c r="AP5" s="13"/>
      <c r="AQ5" s="13"/>
      <c r="AR5" s="13"/>
      <c r="AS5" s="13"/>
      <c r="AT5" s="13"/>
      <c r="AU5" s="1504" t="s">
        <v>78</v>
      </c>
      <c r="AV5" s="67" t="s">
        <v>58</v>
      </c>
      <c r="AW5" s="68"/>
      <c r="AX5" s="68"/>
      <c r="AY5" s="68"/>
      <c r="AZ5" s="68"/>
      <c r="BA5" s="68"/>
      <c r="BB5" s="68"/>
      <c r="BC5" s="56"/>
      <c r="BD5" s="56"/>
      <c r="BE5" s="56"/>
      <c r="BF5" s="56"/>
      <c r="BH5" s="278" t="s">
        <v>655</v>
      </c>
      <c r="BI5" s="279"/>
      <c r="BJ5" s="1082" t="s">
        <v>682</v>
      </c>
      <c r="BK5" s="1082"/>
      <c r="BL5" s="1082"/>
      <c r="BM5" s="1082"/>
      <c r="BN5" s="1083"/>
      <c r="BO5" s="280" t="s">
        <v>656</v>
      </c>
      <c r="BP5" s="281"/>
      <c r="BQ5" s="684"/>
      <c r="BR5" s="1082" t="s">
        <v>657</v>
      </c>
      <c r="BS5" s="1082"/>
      <c r="BT5" s="1082"/>
      <c r="BU5" s="1082"/>
      <c r="BV5" s="1082"/>
      <c r="BW5" s="1085"/>
      <c r="BZ5" s="359">
        <f t="shared" ref="BZ5:BZ17" si="0">CA5</f>
        <v>43831</v>
      </c>
      <c r="CA5" s="360">
        <f>DATE(BZ4,1,1)</f>
        <v>43831</v>
      </c>
      <c r="CB5" s="361" t="s">
        <v>721</v>
      </c>
      <c r="CC5" s="563"/>
      <c r="CD5" s="1495" t="s">
        <v>722</v>
      </c>
      <c r="CE5" s="1496"/>
    </row>
    <row r="6" spans="1:83" ht="15.75" customHeight="1" x14ac:dyDescent="0.3">
      <c r="A6" s="13"/>
      <c r="B6" s="660" t="s">
        <v>819</v>
      </c>
      <c r="C6" s="636" t="s">
        <v>8</v>
      </c>
      <c r="D6" s="665">
        <f>SUM(AH8,AH14,AH20,AH26,AH32,AH38,AH44,AH50,AH56,AH62,AH68,AH74)</f>
        <v>4</v>
      </c>
      <c r="E6" s="637" t="s">
        <v>360</v>
      </c>
      <c r="F6" s="665">
        <f>SUM(AH9,AH15,AH21,AH27,AH33,AH39,AH45,AH51,AH57,AH63,AH69,AH75)</f>
        <v>3</v>
      </c>
      <c r="G6" s="670" t="s">
        <v>821</v>
      </c>
      <c r="H6" s="13"/>
      <c r="I6" s="1508"/>
      <c r="J6" s="1508"/>
      <c r="K6" s="1508"/>
      <c r="L6" s="1508"/>
      <c r="M6" s="1508"/>
      <c r="N6" s="1508"/>
      <c r="O6" s="1508"/>
      <c r="P6" s="1508"/>
      <c r="Q6" s="1508"/>
      <c r="R6" s="13"/>
      <c r="S6" s="13"/>
      <c r="T6" s="13"/>
      <c r="U6" s="263" t="s">
        <v>847</v>
      </c>
      <c r="V6" s="13"/>
      <c r="W6" s="13"/>
      <c r="X6" s="13"/>
      <c r="Y6" s="13"/>
      <c r="Z6" s="13"/>
      <c r="AA6" s="13"/>
      <c r="AB6" s="13"/>
      <c r="AC6" s="13"/>
      <c r="AD6" s="13"/>
      <c r="AE6" s="13"/>
      <c r="AF6" s="13"/>
      <c r="AG6" s="13"/>
      <c r="AH6" s="13"/>
      <c r="AI6" s="13"/>
      <c r="AJ6" s="674"/>
      <c r="AK6" s="594" t="s">
        <v>864</v>
      </c>
      <c r="AL6" s="13"/>
      <c r="AM6" s="13"/>
      <c r="AN6" s="13"/>
      <c r="AO6" s="13"/>
      <c r="AP6" s="13"/>
      <c r="AQ6" s="13"/>
      <c r="AR6" s="13"/>
      <c r="AS6" s="13"/>
      <c r="AT6" s="13"/>
      <c r="AU6" s="1504"/>
      <c r="AV6" s="46" t="s">
        <v>59</v>
      </c>
      <c r="AW6" s="47"/>
      <c r="AX6" s="48"/>
      <c r="AY6" s="47" t="s">
        <v>60</v>
      </c>
      <c r="AZ6" s="46"/>
      <c r="BA6" s="46"/>
      <c r="BB6" s="49"/>
      <c r="BC6" s="48"/>
      <c r="BD6" s="48"/>
      <c r="BE6" s="48"/>
      <c r="BF6" s="48"/>
      <c r="BH6" s="1086" t="s">
        <v>512</v>
      </c>
      <c r="BI6" s="1087"/>
      <c r="BJ6" s="1087"/>
      <c r="BK6" s="1087"/>
      <c r="BL6" s="1087"/>
      <c r="BM6" s="1087"/>
      <c r="BN6" s="1087"/>
      <c r="BO6" s="1087"/>
      <c r="BP6" s="1087"/>
      <c r="BQ6" s="1087"/>
      <c r="BR6" s="1087"/>
      <c r="BS6" s="1087"/>
      <c r="BT6" s="1087"/>
      <c r="BU6" s="1087"/>
      <c r="BV6" s="1087"/>
      <c r="BW6" s="1088"/>
      <c r="BZ6" s="359">
        <f t="shared" si="0"/>
        <v>43933</v>
      </c>
      <c r="CA6" s="360">
        <f>DATE(BZ4,3,29.56+0.979*MOD(204-11*MOD(BZ4,19),30)-WEEKDAY(DATE(BZ4,3,28.56+0.979*MOD(204-11*MOD(BZ4,19),30))))</f>
        <v>43933</v>
      </c>
      <c r="CB6" s="361" t="s">
        <v>585</v>
      </c>
      <c r="CC6" s="563"/>
      <c r="CD6" s="362" t="s">
        <v>723</v>
      </c>
      <c r="CE6" s="363">
        <f>DATE(CD4-1,12,25)</f>
        <v>44555</v>
      </c>
    </row>
    <row r="7" spans="1:83" ht="21.75" customHeight="1" thickBot="1" x14ac:dyDescent="0.3">
      <c r="A7" s="13"/>
      <c r="B7" s="661" t="s">
        <v>822</v>
      </c>
      <c r="C7" s="664" t="s">
        <v>6</v>
      </c>
      <c r="D7" s="665">
        <f>SUM(AH10,AH16,AH22,AH28,AH34,AH40,AH46,AH52,AH58,AH64,AH70,AH76)</f>
        <v>4</v>
      </c>
      <c r="E7" s="667" t="s">
        <v>799</v>
      </c>
      <c r="F7" s="665">
        <f>SUM(AH11,AH17,AH23,AH29,AH35,AH41,AH47,AH53,AH59,AH65,AH71,AH77)</f>
        <v>0</v>
      </c>
      <c r="G7" s="671" t="s">
        <v>823</v>
      </c>
      <c r="H7" s="13"/>
      <c r="I7" s="1509"/>
      <c r="J7" s="1509"/>
      <c r="K7" s="1509"/>
      <c r="L7" s="1509"/>
      <c r="M7" s="1509"/>
      <c r="N7" s="1509"/>
      <c r="O7" s="1509"/>
      <c r="P7" s="1509"/>
      <c r="Q7" s="1509"/>
      <c r="R7" s="13"/>
      <c r="S7" s="13"/>
      <c r="T7" s="13"/>
      <c r="U7" s="675" t="s">
        <v>845</v>
      </c>
      <c r="V7" s="13"/>
      <c r="W7" s="13"/>
      <c r="X7" s="13"/>
      <c r="Y7" s="13"/>
      <c r="Z7" s="13"/>
      <c r="AA7" s="13"/>
      <c r="AB7" s="13"/>
      <c r="AC7" s="13"/>
      <c r="AD7" s="13"/>
      <c r="AE7" s="13"/>
      <c r="AF7" s="13"/>
      <c r="AG7" s="13"/>
      <c r="AH7" s="13"/>
      <c r="AI7" s="13"/>
      <c r="AJ7" s="13"/>
      <c r="AK7" s="45" t="s">
        <v>834</v>
      </c>
      <c r="AL7" s="13"/>
      <c r="AM7" s="13"/>
      <c r="AN7" s="13"/>
      <c r="AO7" s="13"/>
      <c r="AP7" s="13"/>
      <c r="AQ7" s="594" t="s">
        <v>835</v>
      </c>
      <c r="AR7" s="13"/>
      <c r="AS7" s="13"/>
      <c r="AT7" s="13"/>
      <c r="AU7" s="1504"/>
      <c r="AV7" s="54"/>
      <c r="AW7" s="72"/>
      <c r="AX7" s="1505" t="s">
        <v>61</v>
      </c>
      <c r="AY7" s="1505"/>
      <c r="AZ7" s="1505"/>
      <c r="BA7" s="1505"/>
      <c r="BB7" s="676" t="s">
        <v>830</v>
      </c>
      <c r="BC7" s="56"/>
      <c r="BD7" s="56"/>
      <c r="BE7" s="56"/>
      <c r="BF7" s="56"/>
      <c r="BH7" s="285"/>
      <c r="BI7" s="286" t="str">
        <f ca="1">CELL("nomfichier")</f>
        <v>E:\UPRT a faire\so-plannings.copie\[calendrier.Pascal.Grandet.xlsx]Calendrier.Pascal.Grandet</v>
      </c>
      <c r="BJ7" s="287"/>
      <c r="BK7" s="287"/>
      <c r="BL7" s="287"/>
      <c r="BM7" s="287"/>
      <c r="BN7" s="287"/>
      <c r="BO7" s="287"/>
      <c r="BP7" s="287"/>
      <c r="BQ7" s="287"/>
      <c r="BR7" s="287"/>
      <c r="BS7" s="287"/>
      <c r="BT7" s="287"/>
      <c r="BU7" s="287"/>
      <c r="BV7" s="287"/>
      <c r="BW7" s="288"/>
      <c r="BZ7" s="359">
        <f t="shared" si="0"/>
        <v>43934</v>
      </c>
      <c r="CA7" s="360">
        <f>CA6+1</f>
        <v>43934</v>
      </c>
      <c r="CB7" s="361" t="s">
        <v>725</v>
      </c>
      <c r="CC7" s="563"/>
      <c r="CD7" s="364" t="s">
        <v>721</v>
      </c>
      <c r="CE7" s="365">
        <f>DATE(CD4,1,1)</f>
        <v>44562</v>
      </c>
    </row>
    <row r="8" spans="1:83" ht="14.25" customHeight="1" x14ac:dyDescent="0.25">
      <c r="A8" s="651"/>
      <c r="B8" s="20">
        <f>DATE($C$2,MONTH(1&amp;"/"&amp;C9),1)</f>
        <v>43831</v>
      </c>
      <c r="C8" s="14">
        <f>B8</f>
        <v>43831</v>
      </c>
      <c r="D8" s="14">
        <f>IFERROR(IF(C8+1&gt;$B$9,"",C8+1),"")</f>
        <v>43832</v>
      </c>
      <c r="E8" s="14">
        <f t="shared" ref="E8:AG8" si="1">IFERROR(IF(D8+1&gt;$B$9,"",D8+1),"")</f>
        <v>43833</v>
      </c>
      <c r="F8" s="14">
        <f t="shared" si="1"/>
        <v>43834</v>
      </c>
      <c r="G8" s="14">
        <f t="shared" si="1"/>
        <v>43835</v>
      </c>
      <c r="H8" s="14">
        <f t="shared" si="1"/>
        <v>43836</v>
      </c>
      <c r="I8" s="14">
        <f t="shared" si="1"/>
        <v>43837</v>
      </c>
      <c r="J8" s="14">
        <f t="shared" si="1"/>
        <v>43838</v>
      </c>
      <c r="K8" s="14">
        <f t="shared" si="1"/>
        <v>43839</v>
      </c>
      <c r="L8" s="14">
        <f t="shared" si="1"/>
        <v>43840</v>
      </c>
      <c r="M8" s="14">
        <f t="shared" si="1"/>
        <v>43841</v>
      </c>
      <c r="N8" s="14">
        <f t="shared" si="1"/>
        <v>43842</v>
      </c>
      <c r="O8" s="14">
        <f t="shared" si="1"/>
        <v>43843</v>
      </c>
      <c r="P8" s="14">
        <f t="shared" si="1"/>
        <v>43844</v>
      </c>
      <c r="Q8" s="14">
        <f t="shared" si="1"/>
        <v>43845</v>
      </c>
      <c r="R8" s="14">
        <f t="shared" si="1"/>
        <v>43846</v>
      </c>
      <c r="S8" s="14">
        <f t="shared" si="1"/>
        <v>43847</v>
      </c>
      <c r="T8" s="14">
        <f t="shared" si="1"/>
        <v>43848</v>
      </c>
      <c r="U8" s="14">
        <f t="shared" si="1"/>
        <v>43849</v>
      </c>
      <c r="V8" s="14">
        <f t="shared" si="1"/>
        <v>43850</v>
      </c>
      <c r="W8" s="14">
        <f t="shared" si="1"/>
        <v>43851</v>
      </c>
      <c r="X8" s="14">
        <f t="shared" si="1"/>
        <v>43852</v>
      </c>
      <c r="Y8" s="14">
        <f t="shared" si="1"/>
        <v>43853</v>
      </c>
      <c r="Z8" s="14">
        <f t="shared" si="1"/>
        <v>43854</v>
      </c>
      <c r="AA8" s="14">
        <f t="shared" si="1"/>
        <v>43855</v>
      </c>
      <c r="AB8" s="14">
        <f t="shared" si="1"/>
        <v>43856</v>
      </c>
      <c r="AC8" s="14">
        <f t="shared" si="1"/>
        <v>43857</v>
      </c>
      <c r="AD8" s="14">
        <f t="shared" si="1"/>
        <v>43858</v>
      </c>
      <c r="AE8" s="14">
        <f t="shared" si="1"/>
        <v>43859</v>
      </c>
      <c r="AF8" s="14">
        <f t="shared" si="1"/>
        <v>43860</v>
      </c>
      <c r="AG8" s="14">
        <f t="shared" si="1"/>
        <v>43861</v>
      </c>
      <c r="AH8" s="647">
        <f>COUNTIF(C12:AG12,AI8)</f>
        <v>0</v>
      </c>
      <c r="AI8" s="640" t="s">
        <v>8</v>
      </c>
      <c r="AK8" s="45" t="s">
        <v>502</v>
      </c>
      <c r="AL8" s="13"/>
      <c r="AM8" s="13"/>
      <c r="AN8" s="13"/>
      <c r="AO8" s="13"/>
      <c r="AP8" s="13"/>
      <c r="AQ8" s="13"/>
      <c r="AR8" s="13"/>
      <c r="AS8" s="13"/>
      <c r="AT8" s="13"/>
      <c r="AU8" s="610"/>
      <c r="AV8" s="54"/>
      <c r="AW8" s="72"/>
      <c r="AX8" s="56"/>
      <c r="AY8" s="56"/>
      <c r="AZ8" s="56"/>
      <c r="BA8" s="56"/>
      <c r="BB8" s="56"/>
      <c r="BC8" s="56"/>
      <c r="BD8" s="56"/>
      <c r="BE8" s="56"/>
      <c r="BF8" s="56"/>
      <c r="BH8" s="290"/>
      <c r="BI8" s="592" t="s">
        <v>513</v>
      </c>
      <c r="BJ8" s="291"/>
      <c r="BK8" s="292"/>
      <c r="BL8" s="293" t="s">
        <v>297</v>
      </c>
      <c r="BM8" s="294"/>
      <c r="BN8" s="292"/>
      <c r="BO8" s="295"/>
      <c r="BP8" s="295"/>
      <c r="BQ8" s="295"/>
      <c r="BR8" s="296" t="s">
        <v>517</v>
      </c>
      <c r="BS8" s="297"/>
      <c r="BT8" s="298" t="s">
        <v>57</v>
      </c>
      <c r="BU8" s="299"/>
      <c r="BV8" s="299"/>
      <c r="BW8" s="300"/>
      <c r="BZ8" s="359">
        <f t="shared" si="0"/>
        <v>43952</v>
      </c>
      <c r="CA8" s="360">
        <f>DATE(BZ4,5,1)</f>
        <v>43952</v>
      </c>
      <c r="CB8" s="361" t="s">
        <v>726</v>
      </c>
      <c r="CC8" s="563"/>
      <c r="CD8" s="362" t="s">
        <v>585</v>
      </c>
      <c r="CE8" s="363">
        <f>ROUND(DATE(CD4,4,MOD(234-11*MOD(CD4,19),30))/7,)*7-6</f>
        <v>44668</v>
      </c>
    </row>
    <row r="9" spans="1:83" ht="19.5" customHeight="1" thickBot="1" x14ac:dyDescent="0.3">
      <c r="A9" s="652"/>
      <c r="B9" s="21">
        <f>EOMONTH(B8,0)</f>
        <v>43861</v>
      </c>
      <c r="C9" s="1479" t="s">
        <v>36</v>
      </c>
      <c r="D9" s="1480"/>
      <c r="E9" s="1480"/>
      <c r="F9" s="1480"/>
      <c r="G9" s="1480"/>
      <c r="H9" s="1480"/>
      <c r="I9" s="1480"/>
      <c r="J9" s="1480"/>
      <c r="K9" s="1480"/>
      <c r="L9" s="1480"/>
      <c r="M9" s="1480"/>
      <c r="N9" s="1480"/>
      <c r="O9" s="1480"/>
      <c r="P9" s="1480"/>
      <c r="Q9" s="1480"/>
      <c r="R9" s="1480"/>
      <c r="S9" s="1480"/>
      <c r="T9" s="1480"/>
      <c r="U9" s="1480"/>
      <c r="V9" s="1480"/>
      <c r="W9" s="1480"/>
      <c r="X9" s="1480"/>
      <c r="Y9" s="1480"/>
      <c r="Z9" s="1480"/>
      <c r="AA9" s="1480"/>
      <c r="AB9" s="1480"/>
      <c r="AC9" s="1480"/>
      <c r="AD9" s="1480"/>
      <c r="AE9" s="1480"/>
      <c r="AF9" s="1480"/>
      <c r="AG9" s="1481"/>
      <c r="AH9" s="648">
        <f>COUNTIF(C12:AG12,AI9)</f>
        <v>3</v>
      </c>
      <c r="AI9" s="629" t="s">
        <v>360</v>
      </c>
      <c r="AK9" s="685" t="s">
        <v>37</v>
      </c>
      <c r="AL9" s="13"/>
      <c r="AM9" s="94" t="s">
        <v>79</v>
      </c>
      <c r="AN9" s="13"/>
      <c r="AO9" s="13"/>
      <c r="AP9" s="13"/>
      <c r="AQ9" s="13"/>
      <c r="AR9" s="13"/>
      <c r="AS9" s="13"/>
      <c r="AT9" s="13"/>
      <c r="AV9" s="50">
        <v>0.27083333333333331</v>
      </c>
      <c r="AW9" s="50">
        <v>0.4375</v>
      </c>
      <c r="AX9" s="51"/>
      <c r="AY9" s="52">
        <f>IF(AW9-AV9=0,0,(AW9-AV9)-(AX9*TIMEVALUE("00:30")))</f>
        <v>0.16666666666666669</v>
      </c>
      <c r="AZ9" s="53" t="s">
        <v>62</v>
      </c>
      <c r="BA9" s="54"/>
      <c r="BB9" s="55"/>
      <c r="BC9" s="56"/>
      <c r="BD9" s="56"/>
      <c r="BE9" s="56"/>
      <c r="BF9" s="56"/>
      <c r="BH9" s="290"/>
      <c r="BI9" s="292"/>
      <c r="BJ9" s="292"/>
      <c r="BK9" s="292"/>
      <c r="BL9" s="292"/>
      <c r="BM9" s="294"/>
      <c r="BN9" s="292"/>
      <c r="BO9" s="295"/>
      <c r="BP9" s="295"/>
      <c r="BQ9" s="295"/>
      <c r="BR9" s="301" t="s">
        <v>522</v>
      </c>
      <c r="BS9" s="297"/>
      <c r="BT9" s="302">
        <f ca="1">NOW()</f>
        <v>44232.80612465278</v>
      </c>
      <c r="BU9" s="303"/>
      <c r="BV9" s="304"/>
      <c r="BW9" s="304"/>
      <c r="BZ9" s="359">
        <f t="shared" si="0"/>
        <v>43959</v>
      </c>
      <c r="CA9" s="360">
        <f>DATE(BZ4,5,8)</f>
        <v>43959</v>
      </c>
      <c r="CB9" s="361" t="s">
        <v>728</v>
      </c>
      <c r="CC9" s="563"/>
      <c r="CD9" s="362" t="s">
        <v>725</v>
      </c>
      <c r="CE9" s="363">
        <f>CE8+1</f>
        <v>44669</v>
      </c>
    </row>
    <row r="10" spans="1:83" ht="18.75" customHeight="1" x14ac:dyDescent="0.25">
      <c r="A10" s="654" t="s">
        <v>662</v>
      </c>
      <c r="B10" s="657">
        <f>COUNTIF(C12:AG12,A10)</f>
        <v>0</v>
      </c>
      <c r="C10" s="6">
        <f t="shared" ref="C10:AG10" si="2">IFERROR(DAY(C8),"")</f>
        <v>1</v>
      </c>
      <c r="D10" s="3">
        <f t="shared" si="2"/>
        <v>2</v>
      </c>
      <c r="E10" s="3">
        <f t="shared" si="2"/>
        <v>3</v>
      </c>
      <c r="F10" s="3">
        <f t="shared" si="2"/>
        <v>4</v>
      </c>
      <c r="G10" s="3">
        <f t="shared" si="2"/>
        <v>5</v>
      </c>
      <c r="H10" s="3">
        <f t="shared" si="2"/>
        <v>6</v>
      </c>
      <c r="I10" s="3">
        <f t="shared" si="2"/>
        <v>7</v>
      </c>
      <c r="J10" s="3">
        <f t="shared" si="2"/>
        <v>8</v>
      </c>
      <c r="K10" s="3">
        <f t="shared" si="2"/>
        <v>9</v>
      </c>
      <c r="L10" s="3">
        <f t="shared" si="2"/>
        <v>10</v>
      </c>
      <c r="M10" s="3">
        <f t="shared" si="2"/>
        <v>11</v>
      </c>
      <c r="N10" s="3">
        <f t="shared" si="2"/>
        <v>12</v>
      </c>
      <c r="O10" s="3">
        <f t="shared" si="2"/>
        <v>13</v>
      </c>
      <c r="P10" s="3">
        <f t="shared" si="2"/>
        <v>14</v>
      </c>
      <c r="Q10" s="3">
        <f t="shared" si="2"/>
        <v>15</v>
      </c>
      <c r="R10" s="3">
        <f t="shared" si="2"/>
        <v>16</v>
      </c>
      <c r="S10" s="3">
        <f t="shared" si="2"/>
        <v>17</v>
      </c>
      <c r="T10" s="3">
        <f t="shared" si="2"/>
        <v>18</v>
      </c>
      <c r="U10" s="3">
        <f t="shared" si="2"/>
        <v>19</v>
      </c>
      <c r="V10" s="3">
        <f t="shared" si="2"/>
        <v>20</v>
      </c>
      <c r="W10" s="3">
        <f t="shared" si="2"/>
        <v>21</v>
      </c>
      <c r="X10" s="3">
        <f t="shared" si="2"/>
        <v>22</v>
      </c>
      <c r="Y10" s="3">
        <f t="shared" si="2"/>
        <v>23</v>
      </c>
      <c r="Z10" s="3">
        <f t="shared" si="2"/>
        <v>24</v>
      </c>
      <c r="AA10" s="3">
        <f t="shared" si="2"/>
        <v>25</v>
      </c>
      <c r="AB10" s="3">
        <f t="shared" si="2"/>
        <v>26</v>
      </c>
      <c r="AC10" s="3">
        <f t="shared" si="2"/>
        <v>27</v>
      </c>
      <c r="AD10" s="3">
        <f t="shared" si="2"/>
        <v>28</v>
      </c>
      <c r="AE10" s="3">
        <f t="shared" si="2"/>
        <v>29</v>
      </c>
      <c r="AF10" s="3">
        <f t="shared" si="2"/>
        <v>30</v>
      </c>
      <c r="AG10" s="7">
        <f t="shared" si="2"/>
        <v>31</v>
      </c>
      <c r="AH10" s="648">
        <f>COUNTIF(C12:AG12,AI10)</f>
        <v>4</v>
      </c>
      <c r="AI10" s="10" t="s">
        <v>6</v>
      </c>
      <c r="AJ10" s="13"/>
      <c r="AK10" s="13"/>
      <c r="AL10" s="13"/>
      <c r="AN10" s="13"/>
      <c r="AO10" s="13"/>
      <c r="AP10" s="13"/>
      <c r="AQ10" s="13"/>
      <c r="AR10" s="13"/>
      <c r="AS10" s="13"/>
      <c r="AT10" s="13"/>
      <c r="AU10" s="70"/>
      <c r="AV10" s="57"/>
      <c r="AW10" s="57"/>
      <c r="AX10" s="57"/>
      <c r="AY10" s="54"/>
      <c r="AZ10" s="54"/>
      <c r="BA10" s="54"/>
      <c r="BB10" s="55"/>
      <c r="BC10" s="56"/>
      <c r="BD10" s="56"/>
      <c r="BE10" s="56"/>
      <c r="BF10" s="56"/>
      <c r="BH10" s="290"/>
      <c r="BI10" s="305">
        <f>BI9+1</f>
        <v>1</v>
      </c>
      <c r="BJ10" s="306" t="s">
        <v>514</v>
      </c>
      <c r="BK10" s="292"/>
      <c r="BL10" s="292"/>
      <c r="BM10" s="294"/>
      <c r="BN10" s="292"/>
      <c r="BO10" s="295"/>
      <c r="BP10" s="295"/>
      <c r="BQ10" s="295"/>
      <c r="BR10" s="307" t="s">
        <v>527</v>
      </c>
      <c r="BS10" s="292"/>
      <c r="BT10" s="295"/>
      <c r="BU10" s="292"/>
      <c r="BV10" s="292"/>
      <c r="BW10" s="308"/>
      <c r="BZ10" s="359">
        <f t="shared" si="0"/>
        <v>43972</v>
      </c>
      <c r="CA10" s="360">
        <f>CA6+39</f>
        <v>43972</v>
      </c>
      <c r="CB10" s="361" t="s">
        <v>729</v>
      </c>
      <c r="CC10" s="563"/>
      <c r="CD10" s="362" t="s">
        <v>726</v>
      </c>
      <c r="CE10" s="363">
        <f>DATE(CD4,5,1)</f>
        <v>44682</v>
      </c>
    </row>
    <row r="11" spans="1:83" ht="16.5" customHeight="1" thickBot="1" x14ac:dyDescent="0.3">
      <c r="A11" s="655" t="s">
        <v>800</v>
      </c>
      <c r="B11" s="658">
        <f>COUNTIF(C12:AG12,A11)</f>
        <v>0</v>
      </c>
      <c r="C11" s="5">
        <f t="shared" ref="C11:AC11" si="3">IF(C8="","",WEEKDAY(C8,1))</f>
        <v>4</v>
      </c>
      <c r="D11" s="8">
        <f t="shared" si="3"/>
        <v>5</v>
      </c>
      <c r="E11" s="8">
        <f t="shared" si="3"/>
        <v>6</v>
      </c>
      <c r="F11" s="8">
        <f t="shared" si="3"/>
        <v>7</v>
      </c>
      <c r="G11" s="8">
        <f t="shared" si="3"/>
        <v>1</v>
      </c>
      <c r="H11" s="8">
        <f t="shared" si="3"/>
        <v>2</v>
      </c>
      <c r="I11" s="8">
        <f t="shared" si="3"/>
        <v>3</v>
      </c>
      <c r="J11" s="8">
        <f t="shared" si="3"/>
        <v>4</v>
      </c>
      <c r="K11" s="8">
        <f t="shared" si="3"/>
        <v>5</v>
      </c>
      <c r="L11" s="8">
        <f t="shared" si="3"/>
        <v>6</v>
      </c>
      <c r="M11" s="8">
        <f t="shared" si="3"/>
        <v>7</v>
      </c>
      <c r="N11" s="8">
        <f t="shared" si="3"/>
        <v>1</v>
      </c>
      <c r="O11" s="8">
        <f t="shared" si="3"/>
        <v>2</v>
      </c>
      <c r="P11" s="8">
        <f t="shared" si="3"/>
        <v>3</v>
      </c>
      <c r="Q11" s="8">
        <f t="shared" si="3"/>
        <v>4</v>
      </c>
      <c r="R11" s="8">
        <f t="shared" si="3"/>
        <v>5</v>
      </c>
      <c r="S11" s="8">
        <f t="shared" si="3"/>
        <v>6</v>
      </c>
      <c r="T11" s="8">
        <f t="shared" si="3"/>
        <v>7</v>
      </c>
      <c r="U11" s="8">
        <f t="shared" si="3"/>
        <v>1</v>
      </c>
      <c r="V11" s="8">
        <f t="shared" si="3"/>
        <v>2</v>
      </c>
      <c r="W11" s="8">
        <f t="shared" si="3"/>
        <v>3</v>
      </c>
      <c r="X11" s="8">
        <f t="shared" si="3"/>
        <v>4</v>
      </c>
      <c r="Y11" s="8">
        <f t="shared" si="3"/>
        <v>5</v>
      </c>
      <c r="Z11" s="8">
        <f t="shared" si="3"/>
        <v>6</v>
      </c>
      <c r="AA11" s="8">
        <f t="shared" si="3"/>
        <v>7</v>
      </c>
      <c r="AB11" s="8">
        <f t="shared" si="3"/>
        <v>1</v>
      </c>
      <c r="AC11" s="8">
        <f t="shared" si="3"/>
        <v>2</v>
      </c>
      <c r="AD11" s="8">
        <f>IF(AD8="","",WEEKDAY(AD8,1))</f>
        <v>3</v>
      </c>
      <c r="AE11" s="8">
        <f>IF(AE8="","",WEEKDAY(AE8,1))</f>
        <v>4</v>
      </c>
      <c r="AF11" s="8">
        <f t="shared" ref="AF11:AG11" si="4">IF(AF8="","",WEEKDAY(AF8,1))</f>
        <v>5</v>
      </c>
      <c r="AG11" s="9">
        <f t="shared" si="4"/>
        <v>6</v>
      </c>
      <c r="AH11" s="648">
        <f>COUNTIF(C12:AG12,AI11)</f>
        <v>0</v>
      </c>
      <c r="AI11" s="633" t="s">
        <v>799</v>
      </c>
      <c r="AJ11" s="13"/>
      <c r="AK11" s="42"/>
      <c r="AL11" s="45" t="s">
        <v>490</v>
      </c>
      <c r="AM11" s="13"/>
      <c r="AN11" s="13"/>
      <c r="AO11" s="13"/>
      <c r="AP11" s="13"/>
      <c r="AQ11" s="13"/>
      <c r="AR11" s="13"/>
      <c r="AS11" s="13"/>
      <c r="AT11" s="13"/>
      <c r="AU11" s="94" t="s">
        <v>80</v>
      </c>
      <c r="AV11" s="50">
        <v>0.33333333333333331</v>
      </c>
      <c r="AW11" s="50">
        <v>0.5</v>
      </c>
      <c r="AX11" s="51"/>
      <c r="AY11" s="52">
        <f>IF(AW11-AV11=0,0,(AW11-AV11)-(AX11*TIMEVALUE("00:30")))</f>
        <v>0.16666666666666669</v>
      </c>
      <c r="AZ11" s="53" t="s">
        <v>63</v>
      </c>
      <c r="BA11" s="54"/>
      <c r="BB11" s="55"/>
      <c r="BC11" s="56"/>
      <c r="BD11" s="56"/>
      <c r="BE11" s="56"/>
      <c r="BF11" s="56"/>
      <c r="BH11" s="290"/>
      <c r="BI11" s="292"/>
      <c r="BJ11" s="292"/>
      <c r="BK11" s="292"/>
      <c r="BL11" s="292"/>
      <c r="BM11" s="294"/>
      <c r="BN11" s="292"/>
      <c r="BO11" s="295"/>
      <c r="BP11" s="295"/>
      <c r="BQ11" s="295"/>
      <c r="BR11" s="309" t="s">
        <v>366</v>
      </c>
      <c r="BS11" s="292"/>
      <c r="BT11" s="295"/>
      <c r="BU11" s="292"/>
      <c r="BV11" s="292"/>
      <c r="BW11" s="310"/>
      <c r="BZ11" s="359">
        <f t="shared" si="0"/>
        <v>43982</v>
      </c>
      <c r="CA11" s="360">
        <f>CA6+49</f>
        <v>43982</v>
      </c>
      <c r="CB11" s="361" t="s">
        <v>731</v>
      </c>
      <c r="CC11" s="563"/>
      <c r="CD11" s="362" t="s">
        <v>728</v>
      </c>
      <c r="CE11" s="363">
        <f>DATE(CD4,5,8)</f>
        <v>44689</v>
      </c>
    </row>
    <row r="12" spans="1:83" ht="15.75" customHeight="1" x14ac:dyDescent="0.25">
      <c r="A12" s="679" t="s">
        <v>7</v>
      </c>
      <c r="B12" s="658">
        <f>COUNTIF(C12:AG12,A12)</f>
        <v>4</v>
      </c>
      <c r="C12" s="690" t="str">
        <f t="array" ref="C12">IF(OR(C11=1,C11=7),"",IFERROR(INDEX($AK$17:$AN$116,MATCH(1,(C8&gt;=$AM$17:$AM$116)*($AN$17:$AN$116&gt;=C8)*($AK$17:$AK$116=$U$2),0),2),""))</f>
        <v>Aap</v>
      </c>
      <c r="D12" s="691" t="str">
        <f t="array" ref="D12">IF(OR(D11=1,D11=7),"",IFERROR(INDEX($AK$17:$AN$116,MATCH(1,(D8&gt;=$AM$17:$AM$116)*($AN$17:$AN$116&gt;=D8)*($AK$17:$AK$116=$U$2),0),2),""))</f>
        <v>Aap</v>
      </c>
      <c r="E12" s="691" t="str">
        <f t="array" ref="E12">IF(OR(E11=1,E11=7),"",IFERROR(INDEX($AK$17:$AN$116,MATCH(1,(E8&gt;=$AM$17:$AM$116)*($AN$17:$AN$116&gt;=E8)*($AK$17:$AK$116=$U$2),0),2),""))</f>
        <v>Aap</v>
      </c>
      <c r="F12" s="691" t="str">
        <f t="array" ref="F12">IF(OR(F11=1,F11=7),"",IFERROR(INDEX($AK$17:$AN$116,MATCH(1,(F8&gt;=$AM$17:$AM$116)*($AN$17:$AN$116&gt;=F8)*($AK$17:$AK$116=$U$2),0),2),""))</f>
        <v/>
      </c>
      <c r="G12" s="691" t="str">
        <f t="array" ref="G12">IF(OR(G11=1,G11=7),"",IFERROR(INDEX($AK$17:$AN$116,MATCH(1,(G8&gt;=$AM$17:$AM$116)*($AN$17:$AN$116&gt;=G8)*($AK$17:$AK$116=$U$2),0),2),""))</f>
        <v/>
      </c>
      <c r="H12" s="691" t="str">
        <f t="array" ref="H12">IF(OR(H11=1,H11=7),"",IFERROR(INDEX($AK$17:$AN$116,MATCH(1,(H8&gt;=$AM$17:$AM$116)*($AN$17:$AN$116&gt;=H8)*($AK$17:$AK$116=$U$2),0),2),""))</f>
        <v/>
      </c>
      <c r="I12" s="691" t="str">
        <f t="array" ref="I12">IF(OR(I11=1,I11=7),"",IFERROR(INDEX($AK$17:$AN$116,MATCH(1,(I8&gt;=$AM$17:$AM$116)*($AN$17:$AN$116&gt;=I8)*($AK$17:$AK$116=$U$2),0),2),""))</f>
        <v>M</v>
      </c>
      <c r="J12" s="691" t="str">
        <f t="array" ref="J12">IF(OR(J11=1,J11=7),"",IFERROR(INDEX($AK$17:$AN$116,MATCH(1,(J8&gt;=$AM$17:$AM$116)*($AN$17:$AN$116&gt;=J8)*($AK$17:$AK$116=$U$2),0),2),""))</f>
        <v>M</v>
      </c>
      <c r="K12" s="691" t="str">
        <f t="array" ref="K12">IF(OR(K11=1,K11=7),"",IFERROR(INDEX($AK$17:$AN$116,MATCH(1,(K8&gt;=$AM$17:$AM$116)*($AN$17:$AN$116&gt;=K8)*($AK$17:$AK$116=$U$2),0),2),""))</f>
        <v>M</v>
      </c>
      <c r="L12" s="691" t="str">
        <f t="array" ref="L12">IF(OR(L11=1,L11=7),"",IFERROR(INDEX($AK$17:$AN$116,MATCH(1,(L8&gt;=$AM$17:$AM$116)*($AN$17:$AN$116&gt;=L8)*($AK$17:$AK$116=$U$2),0),2),""))</f>
        <v>M</v>
      </c>
      <c r="M12" s="691" t="str">
        <f t="array" ref="M12">IF(OR(M11=1,M11=7),"",IFERROR(INDEX($AK$17:$AN$116,MATCH(1,(M8&gt;=$AM$17:$AM$116)*($AN$17:$AN$116&gt;=M8)*($AK$17:$AK$116=$U$2),0),2),""))</f>
        <v/>
      </c>
      <c r="N12" s="691" t="str">
        <f t="array" ref="N12">IF(OR(N11=1,N11=7),"",IFERROR(INDEX($AK$17:$AN$116,MATCH(1,(N8&gt;=$AM$17:$AM$116)*($AN$17:$AN$116&gt;=N8)*($AK$17:$AK$116=$U$2),0),2),""))</f>
        <v/>
      </c>
      <c r="O12" s="691" t="str">
        <f t="array" ref="O12">IF(OR(O11=1,O11=7),"",IFERROR(INDEX($AK$17:$AN$116,MATCH(1,(O8&gt;=$AM$17:$AM$116)*($AN$17:$AN$116&gt;=O8)*($AK$17:$AK$116=$U$2),0),2),""))</f>
        <v>C</v>
      </c>
      <c r="P12" s="691" t="str">
        <f t="array" ref="P12">IF(OR(P11=1,P11=7),"",IFERROR(INDEX($AK$17:$AN$116,MATCH(1,(P8&gt;=$AM$17:$AM$116)*($AN$17:$AN$116&gt;=P8)*($AK$17:$AK$116=$U$2),0),2),""))</f>
        <v>C</v>
      </c>
      <c r="Q12" s="691" t="str">
        <f t="array" ref="Q12">IF(OR(Q11=1,Q11=7),"",IFERROR(INDEX($AK$17:$AN$116,MATCH(1,(Q8&gt;=$AM$17:$AM$116)*($AN$17:$AN$116&gt;=Q8)*($AK$17:$AK$116=$U$2),0),2),""))</f>
        <v>C</v>
      </c>
      <c r="R12" s="691" t="str">
        <f t="array" ref="R12">IF(OR(R11=1,R11=7),"",IFERROR(INDEX($AK$17:$AN$116,MATCH(1,(R8&gt;=$AM$17:$AM$116)*($AN$17:$AN$116&gt;=R8)*($AK$17:$AK$116=$U$2),0),2),""))</f>
        <v>C</v>
      </c>
      <c r="S12" s="691" t="str">
        <f t="array" ref="S12">IF(OR(S11=1,S11=7),"",IFERROR(INDEX($AK$17:$AN$116,MATCH(1,(S8&gt;=$AM$17:$AM$116)*($AN$17:$AN$116&gt;=S8)*($AK$17:$AK$116=$U$2),0),2),""))</f>
        <v/>
      </c>
      <c r="T12" s="691" t="str">
        <f t="array" ref="T12">IF(OR(T11=1,T11=7),"",IFERROR(INDEX($AK$17:$AN$116,MATCH(1,(T8&gt;=$AM$17:$AM$116)*($AN$17:$AN$116&gt;=T8)*($AK$17:$AK$116=$U$2),0),2),""))</f>
        <v/>
      </c>
      <c r="U12" s="691" t="str">
        <f t="array" ref="U12">IF(OR(U11=1,U11=7),"",IFERROR(INDEX($AK$17:$AN$116,MATCH(1,(U8&gt;=$AM$17:$AM$116)*($AN$17:$AN$116&gt;=U8)*($AK$17:$AK$116=$U$2),0),2),""))</f>
        <v/>
      </c>
      <c r="V12" s="691" t="str">
        <f t="array" ref="V12">IF(OR(V11=1,V11=7),"",IFERROR(INDEX($AK$17:$AN$116,MATCH(1,(V8&gt;=$AM$17:$AM$116)*($AN$17:$AN$116&gt;=V8)*($AK$17:$AK$116=$U$2),0),2),""))</f>
        <v/>
      </c>
      <c r="W12" s="691" t="str">
        <f t="array" ref="W12">IF(OR(W11=1,W11=7),"",IFERROR(INDEX($AK$17:$AN$116,MATCH(1,(W8&gt;=$AM$17:$AM$116)*($AN$17:$AN$116&gt;=W8)*($AK$17:$AK$116=$U$2),0),2),""))</f>
        <v/>
      </c>
      <c r="X12" s="691" t="str">
        <f t="array" ref="X12">IF(OR(X11=1,X11=7),"",IFERROR(INDEX($AK$17:$AN$116,MATCH(1,(X8&gt;=$AM$17:$AM$116)*($AN$17:$AN$116&gt;=X8)*($AK$17:$AK$116=$U$2),0),2),""))</f>
        <v/>
      </c>
      <c r="Y12" s="691" t="str">
        <f t="array" ref="Y12">IF(OR(Y11=1,Y11=7),"",IFERROR(INDEX($AK$17:$AN$116,MATCH(1,(Y8&gt;=$AM$17:$AM$116)*($AN$17:$AN$116&gt;=Y8)*($AK$17:$AK$116=$U$2),0),2),""))</f>
        <v/>
      </c>
      <c r="Z12" s="691" t="str">
        <f t="array" ref="Z12">IF(OR(Z11=1,Z11=7),"",IFERROR(INDEX($AK$17:$AN$116,MATCH(1,(Z8&gt;=$AM$17:$AM$116)*($AN$17:$AN$116&gt;=Z8)*($AK$17:$AK$116=$U$2),0),2),""))</f>
        <v/>
      </c>
      <c r="AA12" s="691" t="str">
        <f t="array" ref="AA12">IF(OR(AA11=1,AA11=7),"",IFERROR(INDEX($AK$17:$AN$116,MATCH(1,(AA8&gt;=$AM$17:$AM$116)*($AN$17:$AN$116&gt;=AA8)*($AK$17:$AK$116=$U$2),0),2),""))</f>
        <v/>
      </c>
      <c r="AB12" s="691" t="str">
        <f t="array" ref="AB12">IF(OR(AB11=1,AB11=7),"",IFERROR(INDEX($AK$17:$AN$116,MATCH(1,(AB8&gt;=$AM$17:$AM$116)*($AN$17:$AN$116&gt;=AB8)*($AK$17:$AK$116=$U$2),0),2),""))</f>
        <v/>
      </c>
      <c r="AC12" s="691" t="str">
        <f t="array" ref="AC12">IF(OR(AC11=1,AC11=7),"",IFERROR(INDEX($AK$17:$AN$116,MATCH(1,(AC8&gt;=$AM$17:$AM$116)*($AN$17:$AN$116&gt;=AC8)*($AK$17:$AK$116=$U$2),0),2),""))</f>
        <v/>
      </c>
      <c r="AD12" s="691" t="str">
        <f t="array" ref="AD12">IF(OR(AD11=1,AD11=7),"",IFERROR(INDEX($AK$17:$AN$116,MATCH(1,(AD8&gt;=$AM$17:$AM$116)*($AN$17:$AN$116&gt;=AD8)*($AK$17:$AK$116=$U$2),0),2),""))</f>
        <v/>
      </c>
      <c r="AE12" s="691" t="str">
        <f t="array" ref="AE12">IF(OR(AE11=1,AE11=7),"",IFERROR(INDEX($AK$17:$AN$116,MATCH(1,(AE8&gt;=$AM$17:$AM$116)*($AN$17:$AN$116&gt;=AE8)*($AK$17:$AK$116=$U$2),0),2),""))</f>
        <v/>
      </c>
      <c r="AF12" s="691" t="str">
        <f t="array" ref="AF12">IF(OR(AF11=1,AF11=7),"",IFERROR(INDEX($AK$17:$AN$116,MATCH(1,(AF8&gt;=$AM$17:$AM$116)*($AN$17:$AN$116&gt;=AF8)*($AK$17:$AK$116=$U$2),0),2),""))</f>
        <v/>
      </c>
      <c r="AG12" s="692" t="str">
        <f t="array" ref="AG12">IF(OR(AG11=1,AG11=7),"",IFERROR(INDEX($AK$17:$AN$116,MATCH(1,(AG8&gt;=$AM$17:$AM$116)*($AN$17:$AN$116&gt;=AG8)*($AK$17:$AK$116=$U$2),0),2),""))</f>
        <v/>
      </c>
      <c r="AH12" s="648">
        <f>COUNTIF(C12:AG12,AI12)</f>
        <v>0</v>
      </c>
      <c r="AI12" s="639" t="s">
        <v>362</v>
      </c>
      <c r="AJ12" s="13"/>
      <c r="AL12" s="13"/>
      <c r="AM12" s="13"/>
      <c r="AN12" s="13"/>
      <c r="AO12" s="1507" t="s">
        <v>491</v>
      </c>
      <c r="AP12" s="13"/>
      <c r="AQ12" s="13"/>
      <c r="AR12" s="13"/>
      <c r="AS12" s="13"/>
      <c r="AT12" s="13"/>
      <c r="AU12" s="70"/>
      <c r="AV12" s="57"/>
      <c r="AW12" s="57"/>
      <c r="AX12" s="57"/>
      <c r="AY12" s="54"/>
      <c r="AZ12" s="54"/>
      <c r="BA12" s="54"/>
      <c r="BB12" s="55"/>
      <c r="BC12" s="56"/>
      <c r="BD12" s="56"/>
      <c r="BE12" s="56"/>
      <c r="BF12" s="56"/>
      <c r="BH12" s="290"/>
      <c r="BI12" s="295"/>
      <c r="BJ12" s="292"/>
      <c r="BK12" s="292"/>
      <c r="BL12" s="292"/>
      <c r="BM12" s="292"/>
      <c r="BN12" s="292"/>
      <c r="BO12" s="295"/>
      <c r="BP12" s="295"/>
      <c r="BQ12" s="295"/>
      <c r="BR12" s="292"/>
      <c r="BS12" s="292"/>
      <c r="BT12" s="295"/>
      <c r="BU12" s="292"/>
      <c r="BV12" s="292"/>
      <c r="BW12" s="310"/>
      <c r="BZ12" s="359">
        <f t="shared" si="0"/>
        <v>43983</v>
      </c>
      <c r="CA12" s="360">
        <f>CA11+1</f>
        <v>43983</v>
      </c>
      <c r="CB12" s="361" t="s">
        <v>732</v>
      </c>
      <c r="CC12" s="563"/>
      <c r="CD12" s="362" t="s">
        <v>729</v>
      </c>
      <c r="CE12" s="363">
        <f>CE8+39</f>
        <v>44707</v>
      </c>
    </row>
    <row r="13" spans="1:83" ht="16.5" customHeight="1" thickBot="1" x14ac:dyDescent="0.3">
      <c r="A13" s="678"/>
      <c r="B13" s="681">
        <f>COUNTA(C13:AG13)</f>
        <v>10</v>
      </c>
      <c r="C13" s="687" t="s">
        <v>37</v>
      </c>
      <c r="D13" s="688" t="s">
        <v>83</v>
      </c>
      <c r="E13" s="687" t="s">
        <v>37</v>
      </c>
      <c r="F13" s="687" t="s">
        <v>37</v>
      </c>
      <c r="G13" s="688" t="s">
        <v>92</v>
      </c>
      <c r="H13" s="687" t="s">
        <v>37</v>
      </c>
      <c r="I13" s="689"/>
      <c r="J13" s="689"/>
      <c r="K13" s="689"/>
      <c r="L13" s="689"/>
      <c r="M13" s="689"/>
      <c r="N13" s="689"/>
      <c r="O13" s="689"/>
      <c r="P13" s="689"/>
      <c r="Q13" s="689"/>
      <c r="R13" s="689"/>
      <c r="S13" s="687" t="s">
        <v>37</v>
      </c>
      <c r="T13" s="687" t="s">
        <v>37</v>
      </c>
      <c r="U13" s="687" t="s">
        <v>37</v>
      </c>
      <c r="V13" s="687" t="s">
        <v>37</v>
      </c>
      <c r="W13" s="689"/>
      <c r="X13" s="689"/>
      <c r="Y13" s="689"/>
      <c r="Z13" s="689"/>
      <c r="AA13" s="689"/>
      <c r="AB13" s="689"/>
      <c r="AC13" s="689"/>
      <c r="AD13" s="689"/>
      <c r="AE13" s="689"/>
      <c r="AF13" s="689"/>
      <c r="AG13" s="689"/>
      <c r="AH13" s="677"/>
      <c r="AI13" s="678"/>
      <c r="AJ13" s="13"/>
      <c r="AK13" s="13"/>
      <c r="AL13" s="13"/>
      <c r="AM13" s="13"/>
      <c r="AN13" s="13"/>
      <c r="AO13" s="1507"/>
      <c r="AP13" s="13"/>
      <c r="AQ13" s="13"/>
      <c r="AR13" s="13"/>
      <c r="AS13" s="13"/>
      <c r="AT13" s="13"/>
      <c r="AU13" s="94" t="s">
        <v>81</v>
      </c>
      <c r="AV13" s="50">
        <v>0.33333333333333331</v>
      </c>
      <c r="AW13" s="50">
        <v>0.5</v>
      </c>
      <c r="AX13" s="51"/>
      <c r="AY13" s="52">
        <f>IF(AW13-AV13=0,0,(AW13-AV13)-(AX13*TIMEVALUE("00:30")))</f>
        <v>0.16666666666666669</v>
      </c>
      <c r="AZ13" s="53" t="s">
        <v>64</v>
      </c>
      <c r="BA13" s="54"/>
      <c r="BB13" s="55"/>
      <c r="BC13" s="56"/>
      <c r="BD13" s="56"/>
      <c r="BE13" s="56"/>
      <c r="BF13" s="56"/>
      <c r="BH13" s="290"/>
      <c r="BI13" s="295"/>
      <c r="BJ13" s="311"/>
      <c r="BK13" s="312"/>
      <c r="BL13" s="295"/>
      <c r="BM13" s="295"/>
      <c r="BN13" s="295"/>
      <c r="BO13" s="295"/>
      <c r="BP13" s="295"/>
      <c r="BQ13" s="295"/>
      <c r="BR13" s="295"/>
      <c r="BS13" s="295"/>
      <c r="BT13" s="295"/>
      <c r="BU13" s="295"/>
      <c r="BV13" s="295"/>
      <c r="BW13" s="313"/>
      <c r="BZ13" s="359">
        <f t="shared" si="0"/>
        <v>44026</v>
      </c>
      <c r="CA13" s="360">
        <f>DATE(BZ4,7,14)</f>
        <v>44026</v>
      </c>
      <c r="CB13" s="361" t="s">
        <v>733</v>
      </c>
      <c r="CC13" s="563"/>
      <c r="CD13" s="362" t="s">
        <v>731</v>
      </c>
      <c r="CE13" s="363">
        <f>CE8+49</f>
        <v>44717</v>
      </c>
    </row>
    <row r="14" spans="1:83" ht="14.25" customHeight="1" x14ac:dyDescent="0.25">
      <c r="A14" s="651"/>
      <c r="B14" s="680">
        <f>DATE($C$2,MONTH(1&amp;"/"&amp;C15),1)</f>
        <v>43862</v>
      </c>
      <c r="C14" s="14">
        <f>B14</f>
        <v>43862</v>
      </c>
      <c r="D14" s="14">
        <f>IFERROR(IF(C14+1&gt;$B$15,"",C14+1),"")</f>
        <v>43863</v>
      </c>
      <c r="E14" s="14">
        <f t="shared" ref="E14:AG14" si="5">IFERROR(IF(D14+1&gt;$B$15,"",D14+1),"")</f>
        <v>43864</v>
      </c>
      <c r="F14" s="14">
        <f t="shared" si="5"/>
        <v>43865</v>
      </c>
      <c r="G14" s="14">
        <f t="shared" si="5"/>
        <v>43866</v>
      </c>
      <c r="H14" s="14">
        <f t="shared" si="5"/>
        <v>43867</v>
      </c>
      <c r="I14" s="14">
        <f t="shared" si="5"/>
        <v>43868</v>
      </c>
      <c r="J14" s="14">
        <f t="shared" si="5"/>
        <v>43869</v>
      </c>
      <c r="K14" s="14">
        <f t="shared" si="5"/>
        <v>43870</v>
      </c>
      <c r="L14" s="14">
        <f t="shared" si="5"/>
        <v>43871</v>
      </c>
      <c r="M14" s="14">
        <f t="shared" si="5"/>
        <v>43872</v>
      </c>
      <c r="N14" s="14">
        <f t="shared" si="5"/>
        <v>43873</v>
      </c>
      <c r="O14" s="14">
        <f t="shared" si="5"/>
        <v>43874</v>
      </c>
      <c r="P14" s="14">
        <f t="shared" si="5"/>
        <v>43875</v>
      </c>
      <c r="Q14" s="14">
        <f t="shared" si="5"/>
        <v>43876</v>
      </c>
      <c r="R14" s="14">
        <f t="shared" si="5"/>
        <v>43877</v>
      </c>
      <c r="S14" s="14">
        <f t="shared" si="5"/>
        <v>43878</v>
      </c>
      <c r="T14" s="14">
        <f t="shared" si="5"/>
        <v>43879</v>
      </c>
      <c r="U14" s="14">
        <f t="shared" si="5"/>
        <v>43880</v>
      </c>
      <c r="V14" s="14">
        <f t="shared" si="5"/>
        <v>43881</v>
      </c>
      <c r="W14" s="14">
        <f t="shared" si="5"/>
        <v>43882</v>
      </c>
      <c r="X14" s="14">
        <f t="shared" si="5"/>
        <v>43883</v>
      </c>
      <c r="Y14" s="14">
        <f t="shared" si="5"/>
        <v>43884</v>
      </c>
      <c r="Z14" s="14">
        <f t="shared" si="5"/>
        <v>43885</v>
      </c>
      <c r="AA14" s="14">
        <f t="shared" si="5"/>
        <v>43886</v>
      </c>
      <c r="AB14" s="14">
        <f t="shared" si="5"/>
        <v>43887</v>
      </c>
      <c r="AC14" s="14">
        <f t="shared" si="5"/>
        <v>43888</v>
      </c>
      <c r="AD14" s="14">
        <f t="shared" si="5"/>
        <v>43889</v>
      </c>
      <c r="AE14" s="14">
        <f t="shared" si="5"/>
        <v>43890</v>
      </c>
      <c r="AF14" s="14" t="str">
        <f t="shared" si="5"/>
        <v/>
      </c>
      <c r="AG14" s="14" t="str">
        <f t="shared" si="5"/>
        <v/>
      </c>
      <c r="AH14" s="647">
        <f>COUNTIF(C18:AG18,AI14)</f>
        <v>0</v>
      </c>
      <c r="AI14" s="640" t="s">
        <v>8</v>
      </c>
      <c r="AJ14" s="13"/>
      <c r="AK14" s="623" t="s">
        <v>828</v>
      </c>
      <c r="AL14" s="13"/>
      <c r="AM14" s="13"/>
      <c r="AN14" s="13"/>
      <c r="AO14" s="13"/>
      <c r="AP14" s="13"/>
      <c r="AQ14" s="1472" t="s">
        <v>833</v>
      </c>
      <c r="AR14" s="1472"/>
      <c r="AS14" s="13"/>
      <c r="AT14" s="13"/>
      <c r="AU14" s="70"/>
      <c r="AV14" s="57"/>
      <c r="AW14" s="57"/>
      <c r="AX14" s="57"/>
      <c r="AY14" s="54"/>
      <c r="AZ14" s="54"/>
      <c r="BA14" s="54"/>
      <c r="BB14" s="55"/>
      <c r="BC14" s="56"/>
      <c r="BD14" s="56"/>
      <c r="BE14" s="56"/>
      <c r="BF14" s="56"/>
      <c r="BH14" s="290"/>
      <c r="BI14" s="295"/>
      <c r="BJ14" s="314" t="s">
        <v>658</v>
      </c>
      <c r="BK14" s="315" t="s">
        <v>659</v>
      </c>
      <c r="BL14" s="316"/>
      <c r="BM14" s="316"/>
      <c r="BN14" s="316"/>
      <c r="BO14" s="316"/>
      <c r="BP14" s="316"/>
      <c r="BQ14" s="316"/>
      <c r="BR14" s="317" t="s">
        <v>7</v>
      </c>
      <c r="BS14" s="315" t="s">
        <v>370</v>
      </c>
      <c r="BT14" s="292"/>
      <c r="BU14" s="294"/>
      <c r="BV14" s="294"/>
      <c r="BW14" s="313"/>
      <c r="BZ14" s="359">
        <f t="shared" si="0"/>
        <v>44058</v>
      </c>
      <c r="CA14" s="360">
        <f>DATE(BZ4,8,15)</f>
        <v>44058</v>
      </c>
      <c r="CB14" s="361" t="s">
        <v>586</v>
      </c>
      <c r="CC14" s="563"/>
      <c r="CD14" s="362" t="s">
        <v>732</v>
      </c>
      <c r="CE14" s="363">
        <f>CE8+50</f>
        <v>44718</v>
      </c>
    </row>
    <row r="15" spans="1:83" ht="19.5" customHeight="1" thickBot="1" x14ac:dyDescent="0.3">
      <c r="A15" s="652"/>
      <c r="B15" s="21">
        <f>EOMONTH(B14,0)</f>
        <v>43890</v>
      </c>
      <c r="C15" s="1479" t="s">
        <v>50</v>
      </c>
      <c r="D15" s="1480"/>
      <c r="E15" s="1480"/>
      <c r="F15" s="1480"/>
      <c r="G15" s="1480"/>
      <c r="H15" s="1480"/>
      <c r="I15" s="1480"/>
      <c r="J15" s="1480"/>
      <c r="K15" s="1480"/>
      <c r="L15" s="1480"/>
      <c r="M15" s="1480"/>
      <c r="N15" s="1480"/>
      <c r="O15" s="1480"/>
      <c r="P15" s="1480"/>
      <c r="Q15" s="1480"/>
      <c r="R15" s="1480"/>
      <c r="S15" s="1480"/>
      <c r="T15" s="1480"/>
      <c r="U15" s="1480"/>
      <c r="V15" s="1480"/>
      <c r="W15" s="1480"/>
      <c r="X15" s="1480"/>
      <c r="Y15" s="1480"/>
      <c r="Z15" s="1480"/>
      <c r="AA15" s="1480"/>
      <c r="AB15" s="1480"/>
      <c r="AC15" s="1480"/>
      <c r="AD15" s="1480"/>
      <c r="AE15" s="1480"/>
      <c r="AF15" s="1480"/>
      <c r="AG15" s="1481"/>
      <c r="AH15" s="648">
        <f>COUNTIF(C18:AG18,AI15)</f>
        <v>0</v>
      </c>
      <c r="AI15" s="629" t="s">
        <v>360</v>
      </c>
      <c r="AJ15" s="13"/>
      <c r="AK15" s="1473" t="s">
        <v>798</v>
      </c>
      <c r="AL15" s="1473"/>
      <c r="AM15" s="1473"/>
      <c r="AN15" s="1473"/>
      <c r="AO15" s="1473"/>
      <c r="AP15" s="13"/>
      <c r="AQ15" t="s">
        <v>10</v>
      </c>
      <c r="AR15" t="s">
        <v>11</v>
      </c>
      <c r="AS15" s="13"/>
      <c r="AT15" s="13"/>
      <c r="AU15" s="94" t="s">
        <v>82</v>
      </c>
      <c r="AV15" s="50">
        <v>0.29166666666666669</v>
      </c>
      <c r="AW15" s="50">
        <v>0.5625</v>
      </c>
      <c r="AX15" s="51">
        <v>1</v>
      </c>
      <c r="AY15" s="52">
        <f>IF(AW15-AV15=0,0,(AW15-AV15)-(AX15*TIMEVALUE("00:30")))</f>
        <v>0.24999999999999997</v>
      </c>
      <c r="AZ15" s="53" t="s">
        <v>122</v>
      </c>
      <c r="BA15" s="54"/>
      <c r="BB15" s="55"/>
      <c r="BC15" s="56"/>
      <c r="BD15" s="56"/>
      <c r="BE15" s="56"/>
      <c r="BF15" s="56"/>
      <c r="BH15" s="290"/>
      <c r="BI15" s="295"/>
      <c r="BJ15" s="314" t="s">
        <v>660</v>
      </c>
      <c r="BK15" s="59" t="s">
        <v>661</v>
      </c>
      <c r="BL15" s="294"/>
      <c r="BM15" s="294"/>
      <c r="BN15" s="294"/>
      <c r="BO15" s="292"/>
      <c r="BP15" s="292"/>
      <c r="BQ15" s="292"/>
      <c r="BR15" s="318" t="s">
        <v>8</v>
      </c>
      <c r="BS15" s="315" t="s">
        <v>367</v>
      </c>
      <c r="BT15" s="292"/>
      <c r="BU15" s="294"/>
      <c r="BV15" s="294"/>
      <c r="BW15" s="313"/>
      <c r="BZ15" s="359">
        <f t="shared" si="0"/>
        <v>44136</v>
      </c>
      <c r="CA15" s="360">
        <f>DATE(BZ4,11,1)</f>
        <v>44136</v>
      </c>
      <c r="CB15" s="361" t="s">
        <v>735</v>
      </c>
      <c r="CC15" s="563"/>
      <c r="CD15" s="362" t="s">
        <v>733</v>
      </c>
      <c r="CE15" s="363">
        <f>DATE(CD4,7,14)</f>
        <v>44756</v>
      </c>
    </row>
    <row r="16" spans="1:83" ht="18.75" x14ac:dyDescent="0.25">
      <c r="A16" s="654" t="s">
        <v>662</v>
      </c>
      <c r="B16" s="657">
        <f>COUNTIF(C18:AG18,A16)</f>
        <v>4</v>
      </c>
      <c r="C16" s="6">
        <f t="shared" ref="C16:AG16" si="6">IFERROR(DAY(C14),"")</f>
        <v>1</v>
      </c>
      <c r="D16" s="3">
        <f t="shared" si="6"/>
        <v>2</v>
      </c>
      <c r="E16" s="3">
        <f t="shared" si="6"/>
        <v>3</v>
      </c>
      <c r="F16" s="3">
        <f t="shared" si="6"/>
        <v>4</v>
      </c>
      <c r="G16" s="3">
        <f t="shared" si="6"/>
        <v>5</v>
      </c>
      <c r="H16" s="3">
        <f t="shared" si="6"/>
        <v>6</v>
      </c>
      <c r="I16" s="3">
        <f t="shared" si="6"/>
        <v>7</v>
      </c>
      <c r="J16" s="3">
        <f t="shared" si="6"/>
        <v>8</v>
      </c>
      <c r="K16" s="3">
        <f t="shared" si="6"/>
        <v>9</v>
      </c>
      <c r="L16" s="3">
        <f t="shared" si="6"/>
        <v>10</v>
      </c>
      <c r="M16" s="3">
        <f t="shared" si="6"/>
        <v>11</v>
      </c>
      <c r="N16" s="3">
        <f t="shared" si="6"/>
        <v>12</v>
      </c>
      <c r="O16" s="3">
        <f t="shared" si="6"/>
        <v>13</v>
      </c>
      <c r="P16" s="3">
        <f t="shared" si="6"/>
        <v>14</v>
      </c>
      <c r="Q16" s="3">
        <f t="shared" si="6"/>
        <v>15</v>
      </c>
      <c r="R16" s="3">
        <f t="shared" si="6"/>
        <v>16</v>
      </c>
      <c r="S16" s="3">
        <f t="shared" si="6"/>
        <v>17</v>
      </c>
      <c r="T16" s="3">
        <f t="shared" si="6"/>
        <v>18</v>
      </c>
      <c r="U16" s="3">
        <f t="shared" si="6"/>
        <v>19</v>
      </c>
      <c r="V16" s="3">
        <f t="shared" si="6"/>
        <v>20</v>
      </c>
      <c r="W16" s="3">
        <f t="shared" si="6"/>
        <v>21</v>
      </c>
      <c r="X16" s="3">
        <f t="shared" si="6"/>
        <v>22</v>
      </c>
      <c r="Y16" s="3">
        <f t="shared" si="6"/>
        <v>23</v>
      </c>
      <c r="Z16" s="3">
        <f t="shared" si="6"/>
        <v>24</v>
      </c>
      <c r="AA16" s="3">
        <f t="shared" si="6"/>
        <v>25</v>
      </c>
      <c r="AB16" s="3">
        <f t="shared" si="6"/>
        <v>26</v>
      </c>
      <c r="AC16" s="3">
        <f t="shared" si="6"/>
        <v>27</v>
      </c>
      <c r="AD16" s="3">
        <f t="shared" si="6"/>
        <v>28</v>
      </c>
      <c r="AE16" s="3">
        <f t="shared" si="6"/>
        <v>29</v>
      </c>
      <c r="AF16" s="3" t="str">
        <f t="shared" si="6"/>
        <v/>
      </c>
      <c r="AG16" s="7" t="str">
        <f t="shared" si="6"/>
        <v/>
      </c>
      <c r="AH16" s="648">
        <f>COUNTIF(C18:AG18,AI16)</f>
        <v>0</v>
      </c>
      <c r="AI16" s="10" t="s">
        <v>6</v>
      </c>
      <c r="AJ16" s="13"/>
      <c r="AK16" t="s">
        <v>0</v>
      </c>
      <c r="AL16" s="245" t="s">
        <v>3</v>
      </c>
      <c r="AM16" s="245" t="s">
        <v>1</v>
      </c>
      <c r="AN16" s="245" t="s">
        <v>2</v>
      </c>
      <c r="AO16" s="245" t="s">
        <v>54</v>
      </c>
      <c r="AP16" s="13"/>
      <c r="AQ16" s="597" t="s">
        <v>369</v>
      </c>
      <c r="AR16" s="630" t="s">
        <v>662</v>
      </c>
      <c r="AS16" s="13"/>
      <c r="AT16" s="13"/>
      <c r="AU16"/>
      <c r="AV16"/>
      <c r="AW16"/>
      <c r="AX16"/>
      <c r="AY16"/>
      <c r="AZ16"/>
      <c r="BA16"/>
      <c r="BB16"/>
      <c r="BC16"/>
      <c r="BD16"/>
      <c r="BE16"/>
      <c r="BF16"/>
      <c r="BH16" s="290"/>
      <c r="BI16" s="295"/>
      <c r="BJ16" s="314" t="s">
        <v>371</v>
      </c>
      <c r="BK16" s="59" t="s">
        <v>372</v>
      </c>
      <c r="BL16" s="294"/>
      <c r="BM16" s="294"/>
      <c r="BN16" s="294"/>
      <c r="BO16" s="292"/>
      <c r="BP16" s="292"/>
      <c r="BQ16" s="292"/>
      <c r="BR16" s="319" t="s">
        <v>364</v>
      </c>
      <c r="BS16" s="315" t="s">
        <v>365</v>
      </c>
      <c r="BT16" s="292"/>
      <c r="BU16" s="294"/>
      <c r="BV16" s="294"/>
      <c r="BW16" s="313"/>
      <c r="BZ16" s="359">
        <f t="shared" si="0"/>
        <v>44146</v>
      </c>
      <c r="CA16" s="360">
        <f>DATE(BZ4,11,11)</f>
        <v>44146</v>
      </c>
      <c r="CB16" s="361" t="s">
        <v>587</v>
      </c>
      <c r="CC16" s="563"/>
      <c r="CD16" s="362" t="s">
        <v>586</v>
      </c>
      <c r="CE16" s="363">
        <f>DATE(CD4,8,15)</f>
        <v>44788</v>
      </c>
    </row>
    <row r="17" spans="1:83" ht="16.5" customHeight="1" thickBot="1" x14ac:dyDescent="0.3">
      <c r="A17" s="655" t="s">
        <v>800</v>
      </c>
      <c r="B17" s="658">
        <f>COUNTIF(C18:AG18,A17)</f>
        <v>0</v>
      </c>
      <c r="C17" s="5">
        <f t="shared" ref="C17:AC17" si="7">IF(C14="","",WEEKDAY(C14,1))</f>
        <v>7</v>
      </c>
      <c r="D17" s="8">
        <f t="shared" si="7"/>
        <v>1</v>
      </c>
      <c r="E17" s="8">
        <f t="shared" si="7"/>
        <v>2</v>
      </c>
      <c r="F17" s="8">
        <f t="shared" si="7"/>
        <v>3</v>
      </c>
      <c r="G17" s="8">
        <f t="shared" si="7"/>
        <v>4</v>
      </c>
      <c r="H17" s="8">
        <f t="shared" si="7"/>
        <v>5</v>
      </c>
      <c r="I17" s="8">
        <f t="shared" si="7"/>
        <v>6</v>
      </c>
      <c r="J17" s="8">
        <f t="shared" si="7"/>
        <v>7</v>
      </c>
      <c r="K17" s="8">
        <f t="shared" si="7"/>
        <v>1</v>
      </c>
      <c r="L17" s="8">
        <f t="shared" si="7"/>
        <v>2</v>
      </c>
      <c r="M17" s="8">
        <f t="shared" si="7"/>
        <v>3</v>
      </c>
      <c r="N17" s="8">
        <f t="shared" si="7"/>
        <v>4</v>
      </c>
      <c r="O17" s="8">
        <f t="shared" si="7"/>
        <v>5</v>
      </c>
      <c r="P17" s="8">
        <f t="shared" si="7"/>
        <v>6</v>
      </c>
      <c r="Q17" s="8">
        <f t="shared" si="7"/>
        <v>7</v>
      </c>
      <c r="R17" s="8">
        <f t="shared" si="7"/>
        <v>1</v>
      </c>
      <c r="S17" s="8">
        <f t="shared" si="7"/>
        <v>2</v>
      </c>
      <c r="T17" s="8">
        <f t="shared" si="7"/>
        <v>3</v>
      </c>
      <c r="U17" s="8">
        <f t="shared" si="7"/>
        <v>4</v>
      </c>
      <c r="V17" s="8">
        <f t="shared" si="7"/>
        <v>5</v>
      </c>
      <c r="W17" s="8">
        <f t="shared" si="7"/>
        <v>6</v>
      </c>
      <c r="X17" s="8">
        <f t="shared" si="7"/>
        <v>7</v>
      </c>
      <c r="Y17" s="8">
        <f t="shared" si="7"/>
        <v>1</v>
      </c>
      <c r="Z17" s="8">
        <f t="shared" si="7"/>
        <v>2</v>
      </c>
      <c r="AA17" s="8">
        <f t="shared" si="7"/>
        <v>3</v>
      </c>
      <c r="AB17" s="8">
        <f t="shared" si="7"/>
        <v>4</v>
      </c>
      <c r="AC17" s="8">
        <f t="shared" si="7"/>
        <v>5</v>
      </c>
      <c r="AD17" s="8">
        <f>IF(AD14="","",WEEKDAY(AD14,1))</f>
        <v>6</v>
      </c>
      <c r="AE17" s="8">
        <f>IF(AE14="","",WEEKDAY(AE14,1))</f>
        <v>7</v>
      </c>
      <c r="AF17" s="8" t="str">
        <f t="shared" ref="AF17:AG17" si="8">IF(AF14="","",WEEKDAY(AF14,1))</f>
        <v/>
      </c>
      <c r="AG17" s="9" t="str">
        <f t="shared" si="8"/>
        <v/>
      </c>
      <c r="AH17" s="648">
        <f>COUNTIF(C18:AG18,AI17)</f>
        <v>0</v>
      </c>
      <c r="AI17" s="633" t="s">
        <v>799</v>
      </c>
      <c r="AJ17" s="13">
        <v>1</v>
      </c>
      <c r="AK17" t="s">
        <v>4</v>
      </c>
      <c r="AL17" s="630" t="s">
        <v>662</v>
      </c>
      <c r="AM17" s="31">
        <v>43862</v>
      </c>
      <c r="AN17" s="31">
        <v>43865</v>
      </c>
      <c r="AO17" s="635">
        <f>Absences2681012149[[#This Row],[debut]]</f>
        <v>43862</v>
      </c>
      <c r="AP17" s="13"/>
      <c r="AQ17" s="608" t="s">
        <v>370</v>
      </c>
      <c r="AR17" s="631" t="s">
        <v>800</v>
      </c>
      <c r="AS17" s="13"/>
      <c r="AT17" s="13"/>
      <c r="AU17" s="94" t="s">
        <v>83</v>
      </c>
      <c r="AV17" s="50">
        <v>0.375</v>
      </c>
      <c r="AW17" s="50">
        <v>0.54166666666666663</v>
      </c>
      <c r="AX17" s="51">
        <v>0</v>
      </c>
      <c r="AY17" s="52">
        <f>IF(AW17-AV17=0,0,(AW17-AV17)-(AX17*TIMEVALUE("00:30")))</f>
        <v>0.16666666666666663</v>
      </c>
      <c r="AZ17" s="53" t="s">
        <v>65</v>
      </c>
      <c r="BA17" s="54"/>
      <c r="BB17" s="55"/>
      <c r="BC17" s="56"/>
      <c r="BD17" s="56"/>
      <c r="BE17" s="56"/>
      <c r="BF17" s="56"/>
      <c r="BH17" s="290"/>
      <c r="BI17" s="295"/>
      <c r="BJ17" s="320" t="s">
        <v>354</v>
      </c>
      <c r="BK17" s="59" t="s">
        <v>355</v>
      </c>
      <c r="BL17" s="294"/>
      <c r="BM17" s="294"/>
      <c r="BN17" s="294"/>
      <c r="BO17" s="292"/>
      <c r="BP17" s="292"/>
      <c r="BQ17" s="292"/>
      <c r="BR17" s="321" t="s">
        <v>373</v>
      </c>
      <c r="BS17" s="59" t="s">
        <v>374</v>
      </c>
      <c r="BT17" s="292"/>
      <c r="BU17" s="294"/>
      <c r="BV17" s="294"/>
      <c r="BW17" s="313"/>
      <c r="BZ17" s="359">
        <f t="shared" si="0"/>
        <v>44190</v>
      </c>
      <c r="CA17" s="360">
        <f>DATE(BZ4,12,25)</f>
        <v>44190</v>
      </c>
      <c r="CB17" s="361" t="s">
        <v>723</v>
      </c>
      <c r="CC17" s="563"/>
      <c r="CD17" s="362" t="s">
        <v>735</v>
      </c>
      <c r="CE17" s="363">
        <f>DATE(CD4,11,1)</f>
        <v>44866</v>
      </c>
    </row>
    <row r="18" spans="1:83" ht="15.75" customHeight="1" x14ac:dyDescent="0.25">
      <c r="A18" s="679" t="s">
        <v>7</v>
      </c>
      <c r="B18" s="658">
        <f>COUNTIF(C18:AG18,A18)</f>
        <v>0</v>
      </c>
      <c r="C18" s="6" t="str">
        <f t="array" ref="C18">IFERROR(INDEX($AK$17:$AN$116,MATCH(1,(C14&gt;=$AM$17:$AM$116)*($AN$17:$AN$116&gt;=C14)*($AK$17:$AK$116=$U$2),0),2),"")</f>
        <v>RH</v>
      </c>
      <c r="D18" s="3" t="str">
        <f t="array" ref="D18">IFERROR(INDEX($AK$17:$AN$116,MATCH(1,(D14&gt;=$AM$17:$AM$116)*($AN$17:$AN$116&gt;=D14)*($AK$17:$AK$116=$U$2),0),2),"")</f>
        <v>RH</v>
      </c>
      <c r="E18" s="3" t="str">
        <f t="array" ref="E18">IFERROR(INDEX($AK$17:$AN$116,MATCH(1,(E14&gt;=$AM$17:$AM$116)*($AN$17:$AN$116&gt;=E14)*($AK$17:$AK$116=$U$2),0),2),"")</f>
        <v>RH</v>
      </c>
      <c r="F18" s="3" t="str">
        <f t="array" ref="F18">IFERROR(INDEX($AK$17:$AN$116,MATCH(1,(F14&gt;=$AM$17:$AM$116)*($AN$17:$AN$116&gt;=F14)*($AK$17:$AK$116=$U$2),0),2),"")</f>
        <v>RH</v>
      </c>
      <c r="G18" s="3" t="str">
        <f t="array" ref="G18">IFERROR(INDEX($AK$17:$AN$116,MATCH(1,(G14&gt;=$AM$17:$AM$116)*($AN$17:$AN$116&gt;=G14)*($AK$17:$AK$116=$U$2),0),2),"")</f>
        <v/>
      </c>
      <c r="H18" s="3" t="str">
        <f t="array" ref="H18">IFERROR(INDEX($AK$17:$AN$116,MATCH(1,(H14&gt;=$AM$17:$AM$116)*($AN$17:$AN$116&gt;=H14)*($AK$17:$AK$116=$U$2),0),2),"")</f>
        <v/>
      </c>
      <c r="I18" s="3" t="str">
        <f t="array" ref="I18">IFERROR(INDEX($AK$17:$AN$116,MATCH(1,(I14&gt;=$AM$17:$AM$116)*($AN$17:$AN$116&gt;=I14)*($AK$17:$AK$116=$U$2),0),2),"")</f>
        <v/>
      </c>
      <c r="J18" s="3" t="str">
        <f t="array" ref="J18">IFERROR(INDEX($AK$17:$AN$116,MATCH(1,(J14&gt;=$AM$17:$AM$116)*($AN$17:$AN$116&gt;=J14)*($AK$17:$AK$116=$U$2),0),2),"")</f>
        <v/>
      </c>
      <c r="K18" s="3" t="str">
        <f t="array" ref="K18">IFERROR(INDEX($AK$17:$AN$116,MATCH(1,(K14&gt;=$AM$17:$AM$116)*($AN$17:$AN$116&gt;=K14)*($AK$17:$AK$116=$U$2),0),2),"")</f>
        <v/>
      </c>
      <c r="L18" s="3" t="str">
        <f t="array" ref="L18">IFERROR(INDEX($AK$17:$AN$116,MATCH(1,(L14&gt;=$AM$17:$AM$116)*($AN$17:$AN$116&gt;=L14)*($AK$17:$AK$116=$U$2),0),2),"")</f>
        <v/>
      </c>
      <c r="M18" s="3" t="str">
        <f t="array" ref="M18">IFERROR(INDEX($AK$17:$AN$116,MATCH(1,(M14&gt;=$AM$17:$AM$116)*($AN$17:$AN$116&gt;=M14)*($AK$17:$AK$116=$U$2),0),2),"")</f>
        <v/>
      </c>
      <c r="N18" s="3" t="str">
        <f t="array" ref="N18">IFERROR(INDEX($AK$17:$AN$116,MATCH(1,(N14&gt;=$AM$17:$AM$116)*($AN$17:$AN$116&gt;=N14)*($AK$17:$AK$116=$U$2),0),2),"")</f>
        <v/>
      </c>
      <c r="O18" s="3" t="str">
        <f t="array" ref="O18">IFERROR(INDEX($AK$17:$AN$116,MATCH(1,(O14&gt;=$AM$17:$AM$116)*($AN$17:$AN$116&gt;=O14)*($AK$17:$AK$116=$U$2),0),2),"")</f>
        <v/>
      </c>
      <c r="P18" s="3" t="str">
        <f t="array" ref="P18">IFERROR(INDEX($AK$17:$AN$116,MATCH(1,(P14&gt;=$AM$17:$AM$116)*($AN$17:$AN$116&gt;=P14)*($AK$17:$AK$116=$U$2),0),2),"")</f>
        <v/>
      </c>
      <c r="Q18" s="3" t="str">
        <f t="array" ref="Q18">IFERROR(INDEX($AK$17:$AN$116,MATCH(1,(Q14&gt;=$AM$17:$AM$116)*($AN$17:$AN$116&gt;=Q14)*($AK$17:$AK$116=$U$2),0),2),"")</f>
        <v/>
      </c>
      <c r="R18" s="3" t="str">
        <f t="array" ref="R18">IFERROR(INDEX($AK$17:$AN$116,MATCH(1,(R14&gt;=$AM$17:$AM$116)*($AN$17:$AN$116&gt;=R14)*($AK$17:$AK$116=$U$2),0),2),"")</f>
        <v/>
      </c>
      <c r="S18" s="3" t="str">
        <f t="array" ref="S18">IFERROR(INDEX($AK$17:$AN$116,MATCH(1,(S14&gt;=$AM$17:$AM$116)*($AN$17:$AN$116&gt;=S14)*($AK$17:$AK$116=$U$2),0),2),"")</f>
        <v/>
      </c>
      <c r="T18" s="3" t="str">
        <f t="array" ref="T18">IFERROR(INDEX($AK$17:$AN$116,MATCH(1,(T14&gt;=$AM$17:$AM$116)*($AN$17:$AN$116&gt;=T14)*($AK$17:$AK$116=$U$2),0),2),"")</f>
        <v/>
      </c>
      <c r="U18" s="3" t="str">
        <f t="array" ref="U18">IFERROR(INDEX($AK$17:$AN$116,MATCH(1,(U14&gt;=$AM$17:$AM$116)*($AN$17:$AN$116&gt;=U14)*($AK$17:$AK$116=$U$2),0),2),"")</f>
        <v/>
      </c>
      <c r="V18" s="3" t="str">
        <f t="array" ref="V18">IFERROR(INDEX($AK$17:$AN$116,MATCH(1,(V14&gt;=$AM$17:$AM$116)*($AN$17:$AN$116&gt;=V14)*($AK$17:$AK$116=$U$2),0),2),"")</f>
        <v/>
      </c>
      <c r="W18" s="3" t="str">
        <f t="array" ref="W18">IFERROR(INDEX($AK$17:$AN$116,MATCH(1,(W14&gt;=$AM$17:$AM$116)*($AN$17:$AN$116&gt;=W14)*($AK$17:$AK$116=$U$2),0),2),"")</f>
        <v/>
      </c>
      <c r="X18" s="3" t="str">
        <f t="array" ref="X18">IFERROR(INDEX($AK$17:$AN$116,MATCH(1,(X14&gt;=$AM$17:$AM$116)*($AN$17:$AN$116&gt;=X14)*($AK$17:$AK$116=$U$2),0),2),"")</f>
        <v/>
      </c>
      <c r="Y18" s="3" t="str">
        <f t="array" ref="Y18">IFERROR(INDEX($AK$17:$AN$116,MATCH(1,(Y14&gt;=$AM$17:$AM$116)*($AN$17:$AN$116&gt;=Y14)*($AK$17:$AK$116=$U$2),0),2),"")</f>
        <v/>
      </c>
      <c r="Z18" s="3" t="str">
        <f t="array" ref="Z18">IFERROR(INDEX($AK$17:$AN$116,MATCH(1,(Z14&gt;=$AM$17:$AM$116)*($AN$17:$AN$116&gt;=Z14)*($AK$17:$AK$116=$U$2),0),2),"")</f>
        <v/>
      </c>
      <c r="AA18" s="3" t="str">
        <f t="array" ref="AA18">IFERROR(INDEX($AK$17:$AN$116,MATCH(1,(AA14&gt;=$AM$17:$AM$116)*($AN$17:$AN$116&gt;=AA14)*($AK$17:$AK$116=$U$2),0),2),"")</f>
        <v/>
      </c>
      <c r="AB18" s="3" t="str">
        <f t="array" ref="AB18">IFERROR(INDEX($AK$17:$AN$116,MATCH(1,(AB14&gt;=$AM$17:$AM$116)*($AN$17:$AN$116&gt;=AB14)*($AK$17:$AK$116=$U$2),0),2),"")</f>
        <v/>
      </c>
      <c r="AC18" s="3" t="str">
        <f t="array" ref="AC18">IFERROR(INDEX($AK$17:$AN$116,MATCH(1,(AC14&gt;=$AM$17:$AM$116)*($AN$17:$AN$116&gt;=AC14)*($AK$17:$AK$116=$U$2),0),2),"")</f>
        <v/>
      </c>
      <c r="AD18" s="3" t="str">
        <f t="array" ref="AD18">IFERROR(INDEX($AK$17:$AN$116,MATCH(1,(AD14&gt;=$AM$17:$AM$116)*($AN$17:$AN$116&gt;=AD14)*($AK$17:$AK$116=$U$2),0),2),"")</f>
        <v/>
      </c>
      <c r="AE18" s="3" t="str">
        <f t="array" ref="AE18">IFERROR(INDEX($AK$17:$AN$116,MATCH(1,(AE14&gt;=$AM$17:$AM$116)*($AN$17:$AN$116&gt;=AE14)*($AK$17:$AK$116=$U$2),0),2),"")</f>
        <v/>
      </c>
      <c r="AF18" s="3" t="str">
        <f t="array" ref="AF18">IFERROR(INDEX($AK$17:$AN$116,MATCH(1,(AF14&gt;=$AM$17:$AM$116)*($AN$17:$AN$116&gt;=AF14)*($AK$17:$AK$116=$U$2),0),2),"")</f>
        <v/>
      </c>
      <c r="AG18" s="7" t="str">
        <f t="array" ref="AG18">IFERROR(INDEX($AK$17:$AN$116,MATCH(1,(AG14&gt;=$AM$17:$AM$116)*($AN$17:$AN$116&gt;=AG14)*($AK$17:$AK$116=$U$2),0),2),"")</f>
        <v/>
      </c>
      <c r="AH18" s="648">
        <f>COUNTIF(C18:AG18,AI18)</f>
        <v>0</v>
      </c>
      <c r="AI18" s="639" t="s">
        <v>362</v>
      </c>
      <c r="AJ18" s="13">
        <v>2</v>
      </c>
      <c r="AK18" t="s">
        <v>5</v>
      </c>
      <c r="AL18" s="631" t="s">
        <v>800</v>
      </c>
      <c r="AM18" s="31">
        <v>43897</v>
      </c>
      <c r="AN18" s="31">
        <v>43902</v>
      </c>
      <c r="AO18" s="635">
        <f>Absences2681012149[[#This Row],[debut]]</f>
        <v>43897</v>
      </c>
      <c r="AP18" s="13"/>
      <c r="AQ18" s="597" t="s">
        <v>374</v>
      </c>
      <c r="AR18" s="632" t="s">
        <v>7</v>
      </c>
      <c r="AS18" s="13"/>
      <c r="AT18" s="13"/>
      <c r="AU18" s="70"/>
      <c r="AV18" s="57"/>
      <c r="AW18" s="57"/>
      <c r="AX18" s="57"/>
      <c r="AY18" s="54"/>
      <c r="AZ18" s="54"/>
      <c r="BA18" s="54"/>
      <c r="BB18" s="55"/>
      <c r="BC18" s="56"/>
      <c r="BD18" s="56"/>
      <c r="BE18" s="56"/>
      <c r="BF18" s="56"/>
      <c r="BH18" s="290"/>
      <c r="BI18" s="295"/>
      <c r="BJ18" s="320" t="s">
        <v>360</v>
      </c>
      <c r="BK18" s="315" t="s">
        <v>361</v>
      </c>
      <c r="BL18" s="294"/>
      <c r="BM18" s="294"/>
      <c r="BN18" s="294"/>
      <c r="BO18" s="294"/>
      <c r="BP18" s="294"/>
      <c r="BQ18" s="294"/>
      <c r="BR18" s="321" t="s">
        <v>662</v>
      </c>
      <c r="BS18" s="315" t="s">
        <v>663</v>
      </c>
      <c r="BT18" s="292"/>
      <c r="BU18" s="294"/>
      <c r="BV18" s="294"/>
      <c r="BW18" s="313"/>
      <c r="BZ18" s="366">
        <f>BZ21</f>
        <v>44197</v>
      </c>
      <c r="CA18" s="367">
        <f>CA21</f>
        <v>44197</v>
      </c>
      <c r="CB18" s="368" t="s">
        <v>721</v>
      </c>
      <c r="CC18" s="563"/>
      <c r="CD18" s="362" t="s">
        <v>587</v>
      </c>
      <c r="CE18" s="363">
        <f>DATE(CD4,11,11)</f>
        <v>44876</v>
      </c>
    </row>
    <row r="19" spans="1:83" ht="16.5" customHeight="1" thickBot="1" x14ac:dyDescent="0.3">
      <c r="A19" s="678"/>
      <c r="B19" s="40">
        <f>COUNTA(C19:AG19)</f>
        <v>0</v>
      </c>
      <c r="C19" s="41"/>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677"/>
      <c r="AI19" s="678"/>
      <c r="AJ19" s="13">
        <v>3</v>
      </c>
      <c r="AK19" t="s">
        <v>5</v>
      </c>
      <c r="AL19" s="632" t="s">
        <v>7</v>
      </c>
      <c r="AM19" s="31">
        <v>43869</v>
      </c>
      <c r="AN19" s="31">
        <v>43876</v>
      </c>
      <c r="AO19" s="635">
        <f>Absences2681012149[[#This Row],[debut]]</f>
        <v>43869</v>
      </c>
      <c r="AP19" s="13"/>
      <c r="AQ19" s="609" t="s">
        <v>367</v>
      </c>
      <c r="AR19" s="628" t="s">
        <v>8</v>
      </c>
      <c r="AS19" s="13"/>
      <c r="AT19" s="13"/>
      <c r="AU19" s="94" t="s">
        <v>84</v>
      </c>
      <c r="AV19" s="50">
        <v>0.33333333333333331</v>
      </c>
      <c r="AW19" s="50">
        <v>0.5</v>
      </c>
      <c r="AX19" s="51">
        <v>0</v>
      </c>
      <c r="AY19" s="52">
        <f>IF(AW19-AV19=0,0,(AW19-AV19)-(AX19*TIMEVALUE("00:30")))</f>
        <v>0.16666666666666669</v>
      </c>
      <c r="AZ19" s="53" t="s">
        <v>66</v>
      </c>
      <c r="BA19" s="54"/>
      <c r="BB19" s="55"/>
      <c r="BC19" s="56"/>
      <c r="BD19" s="56"/>
      <c r="BE19" s="56"/>
      <c r="BF19" s="56"/>
      <c r="BH19" s="290"/>
      <c r="BI19" s="295"/>
      <c r="BJ19" s="320" t="s">
        <v>112</v>
      </c>
      <c r="BK19" s="59" t="s">
        <v>353</v>
      </c>
      <c r="BL19" s="294"/>
      <c r="BM19" s="294"/>
      <c r="BN19" s="294"/>
      <c r="BO19" s="294"/>
      <c r="BP19" s="294"/>
      <c r="BQ19" s="294"/>
      <c r="BR19" s="322" t="s">
        <v>37</v>
      </c>
      <c r="BS19" s="292" t="s">
        <v>551</v>
      </c>
      <c r="BT19" s="292"/>
      <c r="BU19" s="294"/>
      <c r="BV19" s="294"/>
      <c r="BW19" s="313"/>
      <c r="BZ19" s="497"/>
      <c r="CA19" s="497"/>
      <c r="CB19" s="497"/>
      <c r="CC19" s="563"/>
      <c r="CD19" s="362" t="s">
        <v>723</v>
      </c>
      <c r="CE19" s="363">
        <f>DATE(CD4,12,25)</f>
        <v>44920</v>
      </c>
    </row>
    <row r="20" spans="1:83" ht="14.25" customHeight="1" thickBot="1" x14ac:dyDescent="0.3">
      <c r="A20" s="651"/>
      <c r="B20" s="20">
        <f>DATE($C$2,MONTH(1&amp;"/"&amp;C21),1)</f>
        <v>43891</v>
      </c>
      <c r="C20" s="14">
        <f>B20</f>
        <v>43891</v>
      </c>
      <c r="D20" s="14">
        <f>IFERROR(IF(C20+1&gt;$B$21,"",C20+1),"")</f>
        <v>43892</v>
      </c>
      <c r="E20" s="14">
        <f t="shared" ref="E20:AG20" si="9">IFERROR(IF(D20+1&gt;$B$21,"",D20+1),"")</f>
        <v>43893</v>
      </c>
      <c r="F20" s="14">
        <f t="shared" si="9"/>
        <v>43894</v>
      </c>
      <c r="G20" s="14">
        <f t="shared" si="9"/>
        <v>43895</v>
      </c>
      <c r="H20" s="14">
        <f t="shared" si="9"/>
        <v>43896</v>
      </c>
      <c r="I20" s="14">
        <f t="shared" si="9"/>
        <v>43897</v>
      </c>
      <c r="J20" s="14">
        <f t="shared" si="9"/>
        <v>43898</v>
      </c>
      <c r="K20" s="14">
        <f t="shared" si="9"/>
        <v>43899</v>
      </c>
      <c r="L20" s="14">
        <f t="shared" si="9"/>
        <v>43900</v>
      </c>
      <c r="M20" s="14">
        <f t="shared" si="9"/>
        <v>43901</v>
      </c>
      <c r="N20" s="14">
        <f t="shared" si="9"/>
        <v>43902</v>
      </c>
      <c r="O20" s="14">
        <f t="shared" si="9"/>
        <v>43903</v>
      </c>
      <c r="P20" s="14">
        <f t="shared" si="9"/>
        <v>43904</v>
      </c>
      <c r="Q20" s="14">
        <f t="shared" si="9"/>
        <v>43905</v>
      </c>
      <c r="R20" s="14">
        <f t="shared" si="9"/>
        <v>43906</v>
      </c>
      <c r="S20" s="14">
        <f t="shared" si="9"/>
        <v>43907</v>
      </c>
      <c r="T20" s="14">
        <f t="shared" si="9"/>
        <v>43908</v>
      </c>
      <c r="U20" s="14">
        <f t="shared" si="9"/>
        <v>43909</v>
      </c>
      <c r="V20" s="14">
        <f t="shared" si="9"/>
        <v>43910</v>
      </c>
      <c r="W20" s="14">
        <f t="shared" si="9"/>
        <v>43911</v>
      </c>
      <c r="X20" s="14">
        <f t="shared" si="9"/>
        <v>43912</v>
      </c>
      <c r="Y20" s="14">
        <f t="shared" si="9"/>
        <v>43913</v>
      </c>
      <c r="Z20" s="14">
        <f t="shared" si="9"/>
        <v>43914</v>
      </c>
      <c r="AA20" s="14">
        <f t="shared" si="9"/>
        <v>43915</v>
      </c>
      <c r="AB20" s="14">
        <f t="shared" si="9"/>
        <v>43916</v>
      </c>
      <c r="AC20" s="14">
        <f t="shared" si="9"/>
        <v>43917</v>
      </c>
      <c r="AD20" s="14">
        <f t="shared" si="9"/>
        <v>43918</v>
      </c>
      <c r="AE20" s="14">
        <f t="shared" si="9"/>
        <v>43919</v>
      </c>
      <c r="AF20" s="14">
        <f t="shared" si="9"/>
        <v>43920</v>
      </c>
      <c r="AG20" s="14">
        <f t="shared" si="9"/>
        <v>43921</v>
      </c>
      <c r="AH20" s="647">
        <f>COUNTIF(C24:AG24,AI20)</f>
        <v>0</v>
      </c>
      <c r="AI20" s="640" t="s">
        <v>8</v>
      </c>
      <c r="AJ20" s="13">
        <v>4</v>
      </c>
      <c r="AK20" t="s">
        <v>4</v>
      </c>
      <c r="AL20" s="628" t="s">
        <v>8</v>
      </c>
      <c r="AM20" s="32">
        <v>43958</v>
      </c>
      <c r="AN20" s="32">
        <v>43963</v>
      </c>
      <c r="AO20" s="635">
        <f>Absences2681012149[[#This Row],[debut]]</f>
        <v>43958</v>
      </c>
      <c r="AP20" s="13"/>
      <c r="AQ20" s="595" t="s">
        <v>361</v>
      </c>
      <c r="AR20" s="629" t="s">
        <v>360</v>
      </c>
      <c r="AS20" s="13"/>
      <c r="AT20" s="13"/>
      <c r="AU20" s="70"/>
      <c r="AV20" s="57"/>
      <c r="AW20" s="57"/>
      <c r="AX20" s="57"/>
      <c r="AY20" s="54"/>
      <c r="AZ20" s="54"/>
      <c r="BA20" s="54"/>
      <c r="BB20" s="55"/>
      <c r="BC20" s="56"/>
      <c r="BD20" s="56"/>
      <c r="BE20" s="56"/>
      <c r="BF20" s="56"/>
      <c r="BH20" s="290"/>
      <c r="BI20" s="295"/>
      <c r="BJ20" s="323" t="s">
        <v>356</v>
      </c>
      <c r="BK20" s="315" t="s">
        <v>357</v>
      </c>
      <c r="BL20" s="294"/>
      <c r="BM20" s="294"/>
      <c r="BN20" s="294"/>
      <c r="BO20" s="294"/>
      <c r="BP20" s="294"/>
      <c r="BQ20" s="294"/>
      <c r="BR20" s="315"/>
      <c r="BS20" s="294"/>
      <c r="BT20" s="292"/>
      <c r="BU20" s="294"/>
      <c r="BV20" s="294"/>
      <c r="BW20" s="313"/>
      <c r="BZ20" s="1490">
        <f>BZ4+1</f>
        <v>2021</v>
      </c>
      <c r="CA20" s="1491"/>
      <c r="CB20" s="1492"/>
      <c r="CC20" s="563"/>
      <c r="CD20" s="369" t="s">
        <v>721</v>
      </c>
      <c r="CE20" s="370">
        <f>DATE(CD4+1,1,1)</f>
        <v>44927</v>
      </c>
    </row>
    <row r="21" spans="1:83" ht="19.5" customHeight="1" thickBot="1" x14ac:dyDescent="0.3">
      <c r="A21" s="652"/>
      <c r="B21" s="21">
        <f>EOMONTH(B20,0)</f>
        <v>43921</v>
      </c>
      <c r="C21" s="1476" t="s">
        <v>49</v>
      </c>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8"/>
      <c r="AH21" s="648">
        <f>COUNTIF(C24:AG24,AI21)</f>
        <v>0</v>
      </c>
      <c r="AI21" s="629" t="s">
        <v>360</v>
      </c>
      <c r="AJ21" s="13">
        <v>5</v>
      </c>
      <c r="AK21" t="s">
        <v>5</v>
      </c>
      <c r="AL21" s="629" t="s">
        <v>360</v>
      </c>
      <c r="AM21" s="31">
        <v>44034</v>
      </c>
      <c r="AN21" s="31">
        <v>44054</v>
      </c>
      <c r="AO21" s="635">
        <f>Absences2681012149[[#This Row],[debut]]</f>
        <v>44034</v>
      </c>
      <c r="AP21" s="13"/>
      <c r="AQ21" s="608" t="s">
        <v>357</v>
      </c>
      <c r="AR21" s="10" t="s">
        <v>6</v>
      </c>
      <c r="AS21" s="13"/>
      <c r="AT21" s="13"/>
      <c r="AU21" s="94" t="s">
        <v>85</v>
      </c>
      <c r="AV21" s="50">
        <v>0.41666666666666669</v>
      </c>
      <c r="AW21" s="50">
        <v>0.60416666666666663</v>
      </c>
      <c r="AX21" s="51">
        <v>1</v>
      </c>
      <c r="AY21" s="52">
        <f>IF(AW21-AV21=0,0,(AW21-AV21)-(AX21*TIMEVALUE("00:30")))</f>
        <v>0.1666666666666666</v>
      </c>
      <c r="AZ21" s="53" t="s">
        <v>67</v>
      </c>
      <c r="BA21" s="54"/>
      <c r="BB21" s="55"/>
      <c r="BC21" s="56"/>
      <c r="BD21" s="56"/>
      <c r="BE21" s="56"/>
      <c r="BF21" s="56"/>
      <c r="BH21" s="290"/>
      <c r="BI21" s="295"/>
      <c r="BJ21" s="323" t="s">
        <v>358</v>
      </c>
      <c r="BK21" s="315" t="s">
        <v>359</v>
      </c>
      <c r="BL21" s="294"/>
      <c r="BM21" s="294"/>
      <c r="BN21" s="294"/>
      <c r="BO21" s="324"/>
      <c r="BP21" s="324"/>
      <c r="BQ21" s="292"/>
      <c r="BR21" s="325" t="s">
        <v>664</v>
      </c>
      <c r="BS21" s="292"/>
      <c r="BT21" s="292"/>
      <c r="BU21" s="294"/>
      <c r="BV21" s="294"/>
      <c r="BW21" s="313"/>
      <c r="BZ21" s="359">
        <f>CA21</f>
        <v>44197</v>
      </c>
      <c r="CA21" s="360">
        <f>DATE(BZ4+1,1,1)</f>
        <v>44197</v>
      </c>
      <c r="CB21" s="361" t="s">
        <v>721</v>
      </c>
      <c r="CC21" s="563"/>
      <c r="CD21" s="563"/>
      <c r="CE21" s="563"/>
    </row>
    <row r="22" spans="1:83" ht="19.5" thickBot="1" x14ac:dyDescent="0.3">
      <c r="A22" s="654" t="s">
        <v>662</v>
      </c>
      <c r="B22" s="657">
        <f>COUNTIF(C24:AG24,A22)</f>
        <v>0</v>
      </c>
      <c r="C22" s="6">
        <f t="shared" ref="C22:AG22" si="10">IFERROR(DAY(C20),"")</f>
        <v>1</v>
      </c>
      <c r="D22" s="3">
        <f t="shared" si="10"/>
        <v>2</v>
      </c>
      <c r="E22" s="3">
        <f t="shared" si="10"/>
        <v>3</v>
      </c>
      <c r="F22" s="3">
        <f t="shared" si="10"/>
        <v>4</v>
      </c>
      <c r="G22" s="3">
        <f t="shared" si="10"/>
        <v>5</v>
      </c>
      <c r="H22" s="3">
        <f t="shared" si="10"/>
        <v>6</v>
      </c>
      <c r="I22" s="3">
        <f t="shared" si="10"/>
        <v>7</v>
      </c>
      <c r="J22" s="3">
        <f t="shared" si="10"/>
        <v>8</v>
      </c>
      <c r="K22" s="3">
        <f t="shared" si="10"/>
        <v>9</v>
      </c>
      <c r="L22" s="3">
        <f t="shared" si="10"/>
        <v>10</v>
      </c>
      <c r="M22" s="3">
        <f t="shared" si="10"/>
        <v>11</v>
      </c>
      <c r="N22" s="3">
        <f t="shared" si="10"/>
        <v>12</v>
      </c>
      <c r="O22" s="3">
        <f t="shared" si="10"/>
        <v>13</v>
      </c>
      <c r="P22" s="3">
        <f t="shared" si="10"/>
        <v>14</v>
      </c>
      <c r="Q22" s="3">
        <f t="shared" si="10"/>
        <v>15</v>
      </c>
      <c r="R22" s="3">
        <f t="shared" si="10"/>
        <v>16</v>
      </c>
      <c r="S22" s="3">
        <f t="shared" si="10"/>
        <v>17</v>
      </c>
      <c r="T22" s="3">
        <f t="shared" si="10"/>
        <v>18</v>
      </c>
      <c r="U22" s="3">
        <f t="shared" si="10"/>
        <v>19</v>
      </c>
      <c r="V22" s="3">
        <f t="shared" si="10"/>
        <v>20</v>
      </c>
      <c r="W22" s="3">
        <f t="shared" si="10"/>
        <v>21</v>
      </c>
      <c r="X22" s="3">
        <f t="shared" si="10"/>
        <v>22</v>
      </c>
      <c r="Y22" s="3">
        <f t="shared" si="10"/>
        <v>23</v>
      </c>
      <c r="Z22" s="3">
        <f t="shared" si="10"/>
        <v>24</v>
      </c>
      <c r="AA22" s="3">
        <f t="shared" si="10"/>
        <v>25</v>
      </c>
      <c r="AB22" s="3">
        <f t="shared" si="10"/>
        <v>26</v>
      </c>
      <c r="AC22" s="3">
        <f t="shared" si="10"/>
        <v>27</v>
      </c>
      <c r="AD22" s="3">
        <f t="shared" si="10"/>
        <v>28</v>
      </c>
      <c r="AE22" s="3">
        <f t="shared" si="10"/>
        <v>29</v>
      </c>
      <c r="AF22" s="3">
        <f t="shared" si="10"/>
        <v>30</v>
      </c>
      <c r="AG22" s="7">
        <f t="shared" si="10"/>
        <v>31</v>
      </c>
      <c r="AH22" s="648">
        <f>COUNTIF(C24:AG24,AI22)</f>
        <v>0</v>
      </c>
      <c r="AI22" s="10" t="s">
        <v>6</v>
      </c>
      <c r="AJ22" s="13">
        <v>6</v>
      </c>
      <c r="AK22" t="s">
        <v>4</v>
      </c>
      <c r="AL22" s="10" t="s">
        <v>6</v>
      </c>
      <c r="AM22" s="31">
        <v>43837</v>
      </c>
      <c r="AN22" s="31">
        <v>43842</v>
      </c>
      <c r="AO22" s="635">
        <f>Absences2681012149[[#This Row],[debut]]</f>
        <v>43837</v>
      </c>
      <c r="AP22" s="13"/>
      <c r="AQ22" s="597" t="s">
        <v>813</v>
      </c>
      <c r="AR22" s="633" t="s">
        <v>799</v>
      </c>
      <c r="AS22" s="13"/>
      <c r="AT22" s="13"/>
      <c r="AU22" s="70"/>
      <c r="AV22" s="57"/>
      <c r="AW22" s="57"/>
      <c r="AX22" s="57"/>
      <c r="AY22" s="54"/>
      <c r="AZ22" s="54"/>
      <c r="BA22" s="54"/>
      <c r="BB22" s="55"/>
      <c r="BC22" s="56"/>
      <c r="BD22" s="56"/>
      <c r="BE22" s="56"/>
      <c r="BF22" s="56"/>
      <c r="BH22" s="290"/>
      <c r="BI22" s="295"/>
      <c r="BJ22" s="326" t="s">
        <v>542</v>
      </c>
      <c r="BK22" s="315" t="s">
        <v>543</v>
      </c>
      <c r="BL22" s="294"/>
      <c r="BM22" s="294"/>
      <c r="BN22" s="294"/>
      <c r="BO22" s="292"/>
      <c r="BP22" s="292"/>
      <c r="BQ22" s="292"/>
      <c r="BR22" s="327" t="s">
        <v>546</v>
      </c>
      <c r="BS22" s="315" t="s">
        <v>547</v>
      </c>
      <c r="BT22" s="292"/>
      <c r="BU22" s="294"/>
      <c r="BV22" s="294"/>
      <c r="BW22" s="313"/>
      <c r="BZ22" s="359">
        <f t="shared" ref="BZ22:BZ33" si="11">CA22</f>
        <v>44290</v>
      </c>
      <c r="CA22" s="360">
        <f>DATE(BZ4+1,3,29.56+0.979*MOD(204-11*MOD(BZ4+1,19),30)-WEEKDAY(DATE(BZ4+1,3,28.56+0.979*MOD(204-11*MOD(BZ4+1,19),30))))</f>
        <v>44290</v>
      </c>
      <c r="CB22" s="361" t="s">
        <v>585</v>
      </c>
      <c r="CC22" s="563"/>
      <c r="CD22" s="563"/>
      <c r="CE22" s="563"/>
    </row>
    <row r="23" spans="1:83" ht="16.5" customHeight="1" thickTop="1" thickBot="1" x14ac:dyDescent="0.3">
      <c r="A23" s="655" t="s">
        <v>800</v>
      </c>
      <c r="B23" s="658">
        <f>COUNTIF(C24:AG24,A23)</f>
        <v>0</v>
      </c>
      <c r="C23" s="5">
        <f t="shared" ref="C23:AC23" si="12">IF(C20="","",WEEKDAY(C20,1))</f>
        <v>1</v>
      </c>
      <c r="D23" s="8">
        <f t="shared" si="12"/>
        <v>2</v>
      </c>
      <c r="E23" s="8">
        <f t="shared" si="12"/>
        <v>3</v>
      </c>
      <c r="F23" s="8">
        <f t="shared" si="12"/>
        <v>4</v>
      </c>
      <c r="G23" s="8">
        <f t="shared" si="12"/>
        <v>5</v>
      </c>
      <c r="H23" s="8">
        <f t="shared" si="12"/>
        <v>6</v>
      </c>
      <c r="I23" s="8">
        <f t="shared" si="12"/>
        <v>7</v>
      </c>
      <c r="J23" s="8">
        <f t="shared" si="12"/>
        <v>1</v>
      </c>
      <c r="K23" s="8">
        <f t="shared" si="12"/>
        <v>2</v>
      </c>
      <c r="L23" s="8">
        <f t="shared" si="12"/>
        <v>3</v>
      </c>
      <c r="M23" s="8">
        <f t="shared" si="12"/>
        <v>4</v>
      </c>
      <c r="N23" s="8">
        <f t="shared" si="12"/>
        <v>5</v>
      </c>
      <c r="O23" s="8">
        <f t="shared" si="12"/>
        <v>6</v>
      </c>
      <c r="P23" s="8">
        <f t="shared" si="12"/>
        <v>7</v>
      </c>
      <c r="Q23" s="8">
        <f t="shared" si="12"/>
        <v>1</v>
      </c>
      <c r="R23" s="8">
        <f t="shared" si="12"/>
        <v>2</v>
      </c>
      <c r="S23" s="8">
        <f t="shared" si="12"/>
        <v>3</v>
      </c>
      <c r="T23" s="8">
        <f t="shared" si="12"/>
        <v>4</v>
      </c>
      <c r="U23" s="8">
        <f t="shared" si="12"/>
        <v>5</v>
      </c>
      <c r="V23" s="8">
        <f t="shared" si="12"/>
        <v>6</v>
      </c>
      <c r="W23" s="8">
        <f t="shared" si="12"/>
        <v>7</v>
      </c>
      <c r="X23" s="8">
        <f t="shared" si="12"/>
        <v>1</v>
      </c>
      <c r="Y23" s="8">
        <f t="shared" si="12"/>
        <v>2</v>
      </c>
      <c r="Z23" s="8">
        <f t="shared" si="12"/>
        <v>3</v>
      </c>
      <c r="AA23" s="8">
        <f t="shared" si="12"/>
        <v>4</v>
      </c>
      <c r="AB23" s="8">
        <f t="shared" si="12"/>
        <v>5</v>
      </c>
      <c r="AC23" s="8">
        <f t="shared" si="12"/>
        <v>6</v>
      </c>
      <c r="AD23" s="8">
        <f>IF(AD20="","",WEEKDAY(AD20,1))</f>
        <v>7</v>
      </c>
      <c r="AE23" s="8">
        <f>IF(AE20="","",WEEKDAY(AE20,1))</f>
        <v>1</v>
      </c>
      <c r="AF23" s="8">
        <f t="shared" ref="AF23:AG23" si="13">IF(AF20="","",WEEKDAY(AF20,1))</f>
        <v>2</v>
      </c>
      <c r="AG23" s="9">
        <f t="shared" si="13"/>
        <v>3</v>
      </c>
      <c r="AH23" s="648">
        <f>COUNTIF(C24:AG24,AI23)</f>
        <v>0</v>
      </c>
      <c r="AI23" s="633" t="s">
        <v>799</v>
      </c>
      <c r="AJ23" s="13">
        <v>7</v>
      </c>
      <c r="AK23" t="s">
        <v>5</v>
      </c>
      <c r="AL23" s="633" t="s">
        <v>799</v>
      </c>
      <c r="AM23" s="33">
        <v>43922</v>
      </c>
      <c r="AN23" s="33">
        <v>43925</v>
      </c>
      <c r="AO23" s="635">
        <f>Absences2681012149[[#This Row],[debut]]</f>
        <v>43922</v>
      </c>
      <c r="AP23" s="13"/>
      <c r="AQ23" s="608" t="s">
        <v>363</v>
      </c>
      <c r="AR23" s="613" t="s">
        <v>362</v>
      </c>
      <c r="AS23" s="13"/>
      <c r="AT23" s="13"/>
      <c r="AU23" s="94" t="s">
        <v>86</v>
      </c>
      <c r="AV23" s="50">
        <v>0.27083333333333331</v>
      </c>
      <c r="AW23" s="50">
        <v>0.625</v>
      </c>
      <c r="AX23" s="51">
        <v>1</v>
      </c>
      <c r="AY23" s="52">
        <f>IF(AW23-AV23=0,0,(AW23-AV23)-(AX23*TIMEVALUE("00:30")))</f>
        <v>0.33333333333333337</v>
      </c>
      <c r="AZ23" s="53" t="s">
        <v>68</v>
      </c>
      <c r="BA23" s="54"/>
      <c r="BB23" s="55"/>
      <c r="BC23" s="56"/>
      <c r="BD23" s="56"/>
      <c r="BE23" s="56"/>
      <c r="BF23" s="56"/>
      <c r="BH23" s="290"/>
      <c r="BI23" s="295"/>
      <c r="BJ23" s="328" t="s">
        <v>362</v>
      </c>
      <c r="BK23" s="315" t="s">
        <v>363</v>
      </c>
      <c r="BL23" s="294"/>
      <c r="BM23" s="294"/>
      <c r="BN23" s="294"/>
      <c r="BO23" s="292"/>
      <c r="BP23" s="292"/>
      <c r="BQ23" s="292"/>
      <c r="BR23" s="329" t="s">
        <v>665</v>
      </c>
      <c r="BS23" s="330"/>
      <c r="BT23" s="292"/>
      <c r="BU23" s="294"/>
      <c r="BV23" s="331"/>
      <c r="BW23" s="313"/>
      <c r="BZ23" s="359">
        <f t="shared" si="11"/>
        <v>44291</v>
      </c>
      <c r="CA23" s="522">
        <f>CA22+1</f>
        <v>44291</v>
      </c>
      <c r="CB23" s="361" t="s">
        <v>725</v>
      </c>
      <c r="CC23" s="563"/>
      <c r="CD23" s="563"/>
      <c r="CE23" s="563"/>
    </row>
    <row r="24" spans="1:83" ht="15.75" customHeight="1" x14ac:dyDescent="0.25">
      <c r="A24" s="679" t="s">
        <v>7</v>
      </c>
      <c r="B24" s="658">
        <f>COUNTIF(C24:AG24,A24)</f>
        <v>0</v>
      </c>
      <c r="C24" s="693" t="str">
        <f t="array" ref="C24">IF(OR(C23=1,C23=7),"",IFERROR(INDEX($AK$17:$AN$116,MATCH(1,(C20&gt;=$AM$17:$AM$116)*($AN$17:$AN$116&gt;=C20)*($AK$17:$AK$116=$U$2),0),2),""))</f>
        <v/>
      </c>
      <c r="D24" s="694" t="str">
        <f t="array" ref="D24">IF(OR(D23=1,D23=7),"",IFERROR(INDEX($AK$17:$AN$116,MATCH(1,(D20&gt;=$AM$17:$AM$116)*($AN$17:$AN$116&gt;=D20)*($AK$17:$AK$116=$U$2),0),2),""))</f>
        <v/>
      </c>
      <c r="E24" s="694" t="str">
        <f t="array" ref="E24">IF(OR(E23=1,E23=7),"",IFERROR(INDEX($AK$17:$AN$116,MATCH(1,(E20&gt;=$AM$17:$AM$116)*($AN$17:$AN$116&gt;=E20)*($AK$17:$AK$116=$U$2),0),2),""))</f>
        <v/>
      </c>
      <c r="F24" s="694" t="str">
        <f t="array" ref="F24">IF(OR(F23=1,F23=7),"",IFERROR(INDEX($AK$17:$AN$116,MATCH(1,(F20&gt;=$AM$17:$AM$116)*($AN$17:$AN$116&gt;=F20)*($AK$17:$AK$116=$U$2),0),2),""))</f>
        <v/>
      </c>
      <c r="G24" s="694" t="str">
        <f t="array" ref="G24">IF(OR(G23=1,G23=7),"",IFERROR(INDEX($AK$17:$AN$116,MATCH(1,(G20&gt;=$AM$17:$AM$116)*($AN$17:$AN$116&gt;=G20)*($AK$17:$AK$116=$U$2),0),2),""))</f>
        <v/>
      </c>
      <c r="H24" s="694" t="str">
        <f t="array" ref="H24">IF(OR(H23=1,H23=7),"",IFERROR(INDEX($AK$17:$AN$116,MATCH(1,(H20&gt;=$AM$17:$AM$116)*($AN$17:$AN$116&gt;=H20)*($AK$17:$AK$116=$U$2),0),2),""))</f>
        <v/>
      </c>
      <c r="I24" s="694" t="str">
        <f t="array" ref="I24">IF(OR(I23=1,I23=7),"",IFERROR(INDEX($AK$17:$AN$116,MATCH(1,(I20&gt;=$AM$17:$AM$116)*($AN$17:$AN$116&gt;=I20)*($AK$17:$AK$116=$U$2),0),2),""))</f>
        <v/>
      </c>
      <c r="J24" s="694" t="str">
        <f t="array" ref="J24">IF(OR(J23=1,J23=7),"",IFERROR(INDEX($AK$17:$AN$116,MATCH(1,(J20&gt;=$AM$17:$AM$116)*($AN$17:$AN$116&gt;=J20)*($AK$17:$AK$116=$U$2),0),2),""))</f>
        <v/>
      </c>
      <c r="K24" s="694" t="str">
        <f t="array" ref="K24">IF(OR(K23=1,K23=7),"",IFERROR(INDEX($AK$17:$AN$116,MATCH(1,(K20&gt;=$AM$17:$AM$116)*($AN$17:$AN$116&gt;=K20)*($AK$17:$AK$116=$U$2),0),2),""))</f>
        <v/>
      </c>
      <c r="L24" s="694" t="str">
        <f t="array" ref="L24">IF(OR(L23=1,L23=7),"",IFERROR(INDEX($AK$17:$AN$116,MATCH(1,(L20&gt;=$AM$17:$AM$116)*($AN$17:$AN$116&gt;=L20)*($AK$17:$AK$116=$U$2),0),2),""))</f>
        <v/>
      </c>
      <c r="M24" s="694" t="str">
        <f t="array" ref="M24">IF(OR(M23=1,M23=7),"",IFERROR(INDEX($AK$17:$AN$116,MATCH(1,(M20&gt;=$AM$17:$AM$116)*($AN$17:$AN$116&gt;=M20)*($AK$17:$AK$116=$U$2),0),2),""))</f>
        <v/>
      </c>
      <c r="N24" s="694" t="str">
        <f t="array" ref="N24">IF(OR(N23=1,N23=7),"",IFERROR(INDEX($AK$17:$AN$116,MATCH(1,(N20&gt;=$AM$17:$AM$116)*($AN$17:$AN$116&gt;=N20)*($AK$17:$AK$116=$U$2),0),2),""))</f>
        <v/>
      </c>
      <c r="O24" s="694" t="str">
        <f t="array" ref="O24">IF(OR(O23=1,O23=7),"",IFERROR(INDEX($AK$17:$AN$116,MATCH(1,(O20&gt;=$AM$17:$AM$116)*($AN$17:$AN$116&gt;=O20)*($AK$17:$AK$116=$U$2),0),2),""))</f>
        <v/>
      </c>
      <c r="P24" s="694" t="str">
        <f t="array" ref="P24">IF(OR(P23=1,P23=7),"",IFERROR(INDEX($AK$17:$AN$116,MATCH(1,(P20&gt;=$AM$17:$AM$116)*($AN$17:$AN$116&gt;=P20)*($AK$17:$AK$116=$U$2),0),2),""))</f>
        <v/>
      </c>
      <c r="Q24" s="694" t="str">
        <f t="array" ref="Q24">IF(OR(Q23=1,Q23=7),"",IFERROR(INDEX($AK$17:$AN$116,MATCH(1,(Q20&gt;=$AM$17:$AM$116)*($AN$17:$AN$116&gt;=Q20)*($AK$17:$AK$116=$U$2),0),2),""))</f>
        <v/>
      </c>
      <c r="R24" s="694" t="str">
        <f t="array" ref="R24">IF(OR(R23=1,R23=7),"",IFERROR(INDEX($AK$17:$AN$116,MATCH(1,(R20&gt;=$AM$17:$AM$116)*($AN$17:$AN$116&gt;=R20)*($AK$17:$AK$116=$U$2),0),2),""))</f>
        <v/>
      </c>
      <c r="S24" s="694" t="str">
        <f t="array" ref="S24">IF(OR(S23=1,S23=7),"",IFERROR(INDEX($AK$17:$AN$116,MATCH(1,(S20&gt;=$AM$17:$AM$116)*($AN$17:$AN$116&gt;=S20)*($AK$17:$AK$116=$U$2),0),2),""))</f>
        <v/>
      </c>
      <c r="T24" s="694" t="str">
        <f t="array" ref="T24">IF(OR(T23=1,T23=7),"",IFERROR(INDEX($AK$17:$AN$116,MATCH(1,(T20&gt;=$AM$17:$AM$116)*($AN$17:$AN$116&gt;=T20)*($AK$17:$AK$116=$U$2),0),2),""))</f>
        <v/>
      </c>
      <c r="U24" s="694" t="str">
        <f t="array" ref="U24">IF(OR(U23=1,U23=7),"",IFERROR(INDEX($AK$17:$AN$116,MATCH(1,(U20&gt;=$AM$17:$AM$116)*($AN$17:$AN$116&gt;=U20)*($AK$17:$AK$116=$U$2),0),2),""))</f>
        <v/>
      </c>
      <c r="V24" s="694" t="str">
        <f t="array" ref="V24">IF(OR(V23=1,V23=7),"",IFERROR(INDEX($AK$17:$AN$116,MATCH(1,(V20&gt;=$AM$17:$AM$116)*($AN$17:$AN$116&gt;=V20)*($AK$17:$AK$116=$U$2),0),2),""))</f>
        <v/>
      </c>
      <c r="W24" s="694" t="str">
        <f t="array" ref="W24">IF(OR(W23=1,W23=7),"",IFERROR(INDEX($AK$17:$AN$116,MATCH(1,(W20&gt;=$AM$17:$AM$116)*($AN$17:$AN$116&gt;=W20)*($AK$17:$AK$116=$U$2),0),2),""))</f>
        <v/>
      </c>
      <c r="X24" s="694" t="str">
        <f t="array" ref="X24">IF(OR(X23=1,X23=7),"",IFERROR(INDEX($AK$17:$AN$116,MATCH(1,(X20&gt;=$AM$17:$AM$116)*($AN$17:$AN$116&gt;=X20)*($AK$17:$AK$116=$U$2),0),2),""))</f>
        <v/>
      </c>
      <c r="Y24" s="694" t="str">
        <f t="array" ref="Y24">IF(OR(Y23=1,Y23=7),"",IFERROR(INDEX($AK$17:$AN$116,MATCH(1,(Y20&gt;=$AM$17:$AM$116)*($AN$17:$AN$116&gt;=Y20)*($AK$17:$AK$116=$U$2),0),2),""))</f>
        <v/>
      </c>
      <c r="Z24" s="694" t="str">
        <f t="array" ref="Z24">IF(OR(Z23=1,Z23=7),"",IFERROR(INDEX($AK$17:$AN$116,MATCH(1,(Z20&gt;=$AM$17:$AM$116)*($AN$17:$AN$116&gt;=Z20)*($AK$17:$AK$116=$U$2),0),2),""))</f>
        <v/>
      </c>
      <c r="AA24" s="694" t="str">
        <f t="array" ref="AA24">IF(OR(AA23=1,AA23=7),"",IFERROR(INDEX($AK$17:$AN$116,MATCH(1,(AA20&gt;=$AM$17:$AM$116)*($AN$17:$AN$116&gt;=AA20)*($AK$17:$AK$116=$U$2),0),2),""))</f>
        <v/>
      </c>
      <c r="AB24" s="694" t="str">
        <f t="array" ref="AB24">IF(OR(AB23=1,AB23=7),"",IFERROR(INDEX($AK$17:$AN$116,MATCH(1,(AB20&gt;=$AM$17:$AM$116)*($AN$17:$AN$116&gt;=AB20)*($AK$17:$AK$116=$U$2),0),2),""))</f>
        <v/>
      </c>
      <c r="AC24" s="694" t="str">
        <f t="array" ref="AC24">IF(OR(AC23=1,AC23=7),"",IFERROR(INDEX($AK$17:$AN$116,MATCH(1,(AC20&gt;=$AM$17:$AM$116)*($AN$17:$AN$116&gt;=AC20)*($AK$17:$AK$116=$U$2),0),2),""))</f>
        <v/>
      </c>
      <c r="AD24" s="694" t="str">
        <f t="array" ref="AD24">IF(OR(AD23=1,AD23=7),"",IFERROR(INDEX($AK$17:$AN$116,MATCH(1,(AD20&gt;=$AM$17:$AM$116)*($AN$17:$AN$116&gt;=AD20)*($AK$17:$AK$116=$U$2),0),2),""))</f>
        <v/>
      </c>
      <c r="AE24" s="694" t="str">
        <f t="array" ref="AE24">IF(OR(AE23=1,AE23=7),"",IFERROR(INDEX($AK$17:$AN$116,MATCH(1,(AE20&gt;=$AM$17:$AM$116)*($AN$17:$AN$116&gt;=AE20)*($AK$17:$AK$116=$U$2),0),2),""))</f>
        <v/>
      </c>
      <c r="AF24" s="694" t="str">
        <f t="array" ref="AF24">IF(OR(AF23=1,AF23=7),"",IFERROR(INDEX($AK$17:$AN$116,MATCH(1,(AF20&gt;=$AM$17:$AM$116)*($AN$17:$AN$116&gt;=AF20)*($AK$17:$AK$116=$U$2),0),2),""))</f>
        <v/>
      </c>
      <c r="AG24" s="695" t="str">
        <f t="array" ref="AG24">IF(OR(AG23=1,AG23=7),"",IFERROR(INDEX($AK$17:$AN$116,MATCH(1,(AG20&gt;=$AM$17:$AM$116)*($AN$17:$AN$116&gt;=AG20)*($AK$17:$AK$116=$U$2),0),2),""))</f>
        <v/>
      </c>
      <c r="AH24" s="648">
        <f>COUNTIF(C24:AG24,AI24)</f>
        <v>0</v>
      </c>
      <c r="AI24" s="639" t="s">
        <v>362</v>
      </c>
      <c r="AJ24" s="13">
        <v>8</v>
      </c>
      <c r="AK24" t="s">
        <v>5</v>
      </c>
      <c r="AL24" s="613" t="s">
        <v>362</v>
      </c>
      <c r="AM24" s="32">
        <v>43964</v>
      </c>
      <c r="AN24" s="32">
        <v>43965</v>
      </c>
      <c r="AO24" s="635">
        <f>Absences2681012149[[#This Row],[debut]]</f>
        <v>43964</v>
      </c>
      <c r="AP24" s="13"/>
      <c r="AS24" s="13"/>
      <c r="AT24" s="13"/>
      <c r="AU24" s="70"/>
      <c r="AV24" s="57"/>
      <c r="AW24" s="57"/>
      <c r="AX24" s="57"/>
      <c r="AY24" s="54"/>
      <c r="AZ24" s="54"/>
      <c r="BA24" s="54"/>
      <c r="BB24" s="55"/>
      <c r="BC24" s="56"/>
      <c r="BD24" s="56"/>
      <c r="BE24" s="56"/>
      <c r="BF24" s="56"/>
      <c r="BH24" s="290"/>
      <c r="BI24" s="295"/>
      <c r="BJ24" s="281"/>
      <c r="BK24" s="294"/>
      <c r="BL24" s="294"/>
      <c r="BM24" s="294"/>
      <c r="BN24" s="294"/>
      <c r="BO24" s="292"/>
      <c r="BP24" s="292"/>
      <c r="BQ24" s="292"/>
      <c r="BR24" s="292"/>
      <c r="BS24" s="292"/>
      <c r="BT24" s="292"/>
      <c r="BU24" s="294"/>
      <c r="BV24" s="331"/>
      <c r="BW24" s="308"/>
      <c r="BZ24" s="359">
        <f t="shared" si="11"/>
        <v>44317</v>
      </c>
      <c r="CA24" s="522">
        <f>DATE(BZ4+1,5,1)</f>
        <v>44317</v>
      </c>
      <c r="CB24" s="361" t="s">
        <v>726</v>
      </c>
      <c r="CC24" s="563"/>
      <c r="CD24" s="563"/>
      <c r="CE24" s="563"/>
    </row>
    <row r="25" spans="1:83" ht="16.5" customHeight="1" thickBot="1" x14ac:dyDescent="0.3">
      <c r="A25" s="678"/>
      <c r="B25" s="40">
        <f>COUNTA(C25:AG25)</f>
        <v>0</v>
      </c>
      <c r="C25" s="41"/>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677"/>
      <c r="AI25" s="678"/>
      <c r="AJ25" s="13">
        <v>9</v>
      </c>
      <c r="AK25" t="s">
        <v>5</v>
      </c>
      <c r="AL25" s="630" t="s">
        <v>662</v>
      </c>
      <c r="AM25" s="33">
        <v>43995</v>
      </c>
      <c r="AN25" s="33">
        <v>44011</v>
      </c>
      <c r="AO25" s="635">
        <f>Absences2681012149[[#This Row],[debut]]</f>
        <v>43995</v>
      </c>
      <c r="AP25" s="13"/>
      <c r="AS25" s="13"/>
      <c r="AT25" s="13"/>
      <c r="AU25" s="94" t="s">
        <v>87</v>
      </c>
      <c r="AV25" s="50">
        <v>0.3125</v>
      </c>
      <c r="AW25" s="50">
        <v>0.47916666666666669</v>
      </c>
      <c r="AX25" s="51">
        <v>0</v>
      </c>
      <c r="AY25" s="52">
        <f>IF(AW25-AV25=0,0,(AW25-AV25)-(AX25*TIMEVALUE("00:30")))</f>
        <v>0.16666666666666669</v>
      </c>
      <c r="AZ25" s="53" t="s">
        <v>62</v>
      </c>
      <c r="BA25" s="54"/>
      <c r="BB25" s="55"/>
      <c r="BC25" s="56"/>
      <c r="BD25" s="56"/>
      <c r="BE25" s="56"/>
      <c r="BF25" s="56"/>
      <c r="BH25" s="290"/>
      <c r="BI25" s="295"/>
      <c r="BJ25" s="332"/>
      <c r="BK25" s="59"/>
      <c r="BL25" s="294"/>
      <c r="BM25" s="294"/>
      <c r="BN25" s="294"/>
      <c r="BO25" s="292"/>
      <c r="BP25" s="292"/>
      <c r="BQ25" s="292"/>
      <c r="BR25" s="292"/>
      <c r="BS25" s="292"/>
      <c r="BT25" s="292"/>
      <c r="BU25" s="294"/>
      <c r="BV25" s="331"/>
      <c r="BW25" s="308"/>
      <c r="BZ25" s="359">
        <f t="shared" si="11"/>
        <v>494</v>
      </c>
      <c r="CA25" s="360">
        <f>DATE($Y$2+1,5,8)</f>
        <v>494</v>
      </c>
      <c r="CB25" s="361" t="s">
        <v>728</v>
      </c>
      <c r="CC25" s="563"/>
      <c r="CD25" s="563"/>
      <c r="CE25" s="563"/>
    </row>
    <row r="26" spans="1:83" ht="14.25" customHeight="1" x14ac:dyDescent="0.25">
      <c r="A26" s="651"/>
      <c r="B26" s="20">
        <f>DATE($C$2,MONTH(1&amp;"/"&amp;C27),1)</f>
        <v>43922</v>
      </c>
      <c r="C26" s="14">
        <f>B26</f>
        <v>43922</v>
      </c>
      <c r="D26" s="14">
        <f>IFERROR(IF(C26+1&gt;$B$27,"",C26+1),"")</f>
        <v>43923</v>
      </c>
      <c r="E26" s="14">
        <f t="shared" ref="E26:AG26" si="14">IFERROR(IF(D26+1&gt;$B$27,"",D26+1),"")</f>
        <v>43924</v>
      </c>
      <c r="F26" s="14">
        <f t="shared" si="14"/>
        <v>43925</v>
      </c>
      <c r="G26" s="14">
        <f t="shared" si="14"/>
        <v>43926</v>
      </c>
      <c r="H26" s="14">
        <f t="shared" si="14"/>
        <v>43927</v>
      </c>
      <c r="I26" s="14">
        <f t="shared" si="14"/>
        <v>43928</v>
      </c>
      <c r="J26" s="14">
        <f t="shared" si="14"/>
        <v>43929</v>
      </c>
      <c r="K26" s="14">
        <f t="shared" si="14"/>
        <v>43930</v>
      </c>
      <c r="L26" s="14">
        <f t="shared" si="14"/>
        <v>43931</v>
      </c>
      <c r="M26" s="14">
        <f t="shared" si="14"/>
        <v>43932</v>
      </c>
      <c r="N26" s="14">
        <f t="shared" si="14"/>
        <v>43933</v>
      </c>
      <c r="O26" s="14">
        <f t="shared" si="14"/>
        <v>43934</v>
      </c>
      <c r="P26" s="14">
        <f t="shared" si="14"/>
        <v>43935</v>
      </c>
      <c r="Q26" s="14">
        <f t="shared" si="14"/>
        <v>43936</v>
      </c>
      <c r="R26" s="14">
        <f t="shared" si="14"/>
        <v>43937</v>
      </c>
      <c r="S26" s="14">
        <f t="shared" si="14"/>
        <v>43938</v>
      </c>
      <c r="T26" s="14">
        <f t="shared" si="14"/>
        <v>43939</v>
      </c>
      <c r="U26" s="14">
        <f t="shared" si="14"/>
        <v>43940</v>
      </c>
      <c r="V26" s="14">
        <f t="shared" si="14"/>
        <v>43941</v>
      </c>
      <c r="W26" s="14">
        <f t="shared" si="14"/>
        <v>43942</v>
      </c>
      <c r="X26" s="14">
        <f t="shared" si="14"/>
        <v>43943</v>
      </c>
      <c r="Y26" s="14">
        <f t="shared" si="14"/>
        <v>43944</v>
      </c>
      <c r="Z26" s="14">
        <f t="shared" si="14"/>
        <v>43945</v>
      </c>
      <c r="AA26" s="14">
        <f t="shared" si="14"/>
        <v>43946</v>
      </c>
      <c r="AB26" s="14">
        <f t="shared" si="14"/>
        <v>43947</v>
      </c>
      <c r="AC26" s="14">
        <f t="shared" si="14"/>
        <v>43948</v>
      </c>
      <c r="AD26" s="14">
        <f t="shared" si="14"/>
        <v>43949</v>
      </c>
      <c r="AE26" s="14">
        <f t="shared" si="14"/>
        <v>43950</v>
      </c>
      <c r="AF26" s="14">
        <f t="shared" si="14"/>
        <v>43951</v>
      </c>
      <c r="AG26" s="14" t="str">
        <f t="shared" si="14"/>
        <v/>
      </c>
      <c r="AH26" s="647">
        <f>COUNTIF(C30:AG30,AI26)</f>
        <v>0</v>
      </c>
      <c r="AI26" s="640" t="s">
        <v>8</v>
      </c>
      <c r="AJ26" s="13">
        <v>10</v>
      </c>
      <c r="AK26" t="s">
        <v>4</v>
      </c>
      <c r="AL26" s="631" t="s">
        <v>800</v>
      </c>
      <c r="AM26" s="31">
        <v>43941</v>
      </c>
      <c r="AN26" s="31">
        <v>43949</v>
      </c>
      <c r="AO26" s="635">
        <f>Absences2681012149[[#This Row],[debut]]</f>
        <v>43941</v>
      </c>
      <c r="AP26" s="13"/>
      <c r="AS26" s="13"/>
      <c r="AT26" s="13"/>
      <c r="AU26" s="70"/>
      <c r="AV26" s="57"/>
      <c r="AW26" s="57"/>
      <c r="AX26" s="57"/>
      <c r="AY26" s="54"/>
      <c r="AZ26" s="54"/>
      <c r="BA26" s="54"/>
      <c r="BB26" s="55"/>
      <c r="BC26" s="56"/>
      <c r="BD26" s="56"/>
      <c r="BE26" s="56"/>
      <c r="BF26" s="56"/>
      <c r="BH26" s="290"/>
      <c r="BI26" s="295"/>
      <c r="BJ26" s="332"/>
      <c r="BK26" s="59"/>
      <c r="BL26" s="294"/>
      <c r="BM26" s="294"/>
      <c r="BN26" s="294"/>
      <c r="BO26" s="316"/>
      <c r="BP26" s="333" t="s">
        <v>666</v>
      </c>
      <c r="BQ26" s="334"/>
      <c r="BR26" s="335">
        <v>0</v>
      </c>
      <c r="BS26" s="336">
        <v>0</v>
      </c>
      <c r="BT26" s="337">
        <v>0</v>
      </c>
      <c r="BU26" s="338">
        <f>(BS26-BR26)-("00:30"*BT26)</f>
        <v>0</v>
      </c>
      <c r="BV26" s="331"/>
      <c r="BW26" s="308"/>
      <c r="BZ26" s="359">
        <f t="shared" si="11"/>
        <v>44329</v>
      </c>
      <c r="CA26" s="360">
        <f>CA22+39</f>
        <v>44329</v>
      </c>
      <c r="CB26" s="361" t="s">
        <v>729</v>
      </c>
      <c r="CC26" s="563"/>
      <c r="CD26" s="563"/>
      <c r="CE26" s="563"/>
    </row>
    <row r="27" spans="1:83" ht="21.75" thickBot="1" x14ac:dyDescent="0.3">
      <c r="A27" s="652"/>
      <c r="B27" s="21">
        <f>EOMONTH(B26,0)</f>
        <v>43951</v>
      </c>
      <c r="C27" s="1476" t="s">
        <v>48</v>
      </c>
      <c r="D27" s="1477"/>
      <c r="E27" s="1477"/>
      <c r="F27" s="1477"/>
      <c r="G27" s="1477"/>
      <c r="H27" s="1477"/>
      <c r="I27" s="1477"/>
      <c r="J27" s="1477"/>
      <c r="K27" s="1477"/>
      <c r="L27" s="1477"/>
      <c r="M27" s="1477"/>
      <c r="N27" s="1477"/>
      <c r="O27" s="1477"/>
      <c r="P27" s="1477"/>
      <c r="Q27" s="1477"/>
      <c r="R27" s="1477"/>
      <c r="S27" s="1477"/>
      <c r="T27" s="1477"/>
      <c r="U27" s="1477"/>
      <c r="V27" s="1477"/>
      <c r="W27" s="1477"/>
      <c r="X27" s="1477"/>
      <c r="Y27" s="1477"/>
      <c r="Z27" s="1477"/>
      <c r="AA27" s="1477"/>
      <c r="AB27" s="1477"/>
      <c r="AC27" s="1477"/>
      <c r="AD27" s="1477"/>
      <c r="AE27" s="1477"/>
      <c r="AF27" s="1477"/>
      <c r="AG27" s="1478"/>
      <c r="AH27" s="648">
        <f>COUNTIF(C30:AG30,AI27)</f>
        <v>0</v>
      </c>
      <c r="AI27" s="629" t="s">
        <v>360</v>
      </c>
      <c r="AJ27" s="13">
        <v>11</v>
      </c>
      <c r="AK27" t="s">
        <v>4</v>
      </c>
      <c r="AL27" s="632" t="s">
        <v>7</v>
      </c>
      <c r="AM27" s="31">
        <v>43843</v>
      </c>
      <c r="AN27" s="31">
        <v>43846</v>
      </c>
      <c r="AO27" s="635">
        <f>Absences2681012149[[#This Row],[debut]]</f>
        <v>43843</v>
      </c>
      <c r="AP27" s="13"/>
      <c r="AS27" s="13"/>
      <c r="AT27" s="13"/>
      <c r="AU27" s="94" t="s">
        <v>88</v>
      </c>
      <c r="AV27" s="50">
        <v>0.375</v>
      </c>
      <c r="AW27" s="50">
        <v>0.5625</v>
      </c>
      <c r="AX27" s="51">
        <v>1</v>
      </c>
      <c r="AY27" s="52">
        <f>IF(AW27-AV27=0,0,(AW27-AV27)-(AX27*TIMEVALUE("00:30")))</f>
        <v>0.16666666666666666</v>
      </c>
      <c r="AZ27" s="53" t="s">
        <v>67</v>
      </c>
      <c r="BA27" s="54"/>
      <c r="BB27" s="55"/>
      <c r="BC27" s="56"/>
      <c r="BD27" s="56"/>
      <c r="BE27" s="56"/>
      <c r="BF27" s="56"/>
      <c r="BH27" s="290"/>
      <c r="BI27" s="339"/>
      <c r="BJ27" s="339"/>
      <c r="BK27" s="339"/>
      <c r="BL27" s="315"/>
      <c r="BM27" s="292"/>
      <c r="BN27" s="292"/>
      <c r="BO27" s="316"/>
      <c r="BP27" s="333" t="s">
        <v>666</v>
      </c>
      <c r="BQ27" s="340" t="s">
        <v>667</v>
      </c>
      <c r="BR27" s="335">
        <v>0</v>
      </c>
      <c r="BS27" s="336">
        <v>0</v>
      </c>
      <c r="BT27" s="337">
        <v>0</v>
      </c>
      <c r="BU27" s="338">
        <f>(BS27-BR27)-("00:30"*BT27)</f>
        <v>0</v>
      </c>
      <c r="BV27" s="331"/>
      <c r="BW27" s="313"/>
      <c r="BZ27" s="359">
        <f t="shared" si="11"/>
        <v>44339</v>
      </c>
      <c r="CA27" s="360">
        <f>CA22+49</f>
        <v>44339</v>
      </c>
      <c r="CB27" s="361" t="s">
        <v>731</v>
      </c>
      <c r="CC27" s="563"/>
      <c r="CD27" s="563"/>
      <c r="CE27" s="563"/>
    </row>
    <row r="28" spans="1:83" ht="21" x14ac:dyDescent="0.25">
      <c r="A28" s="654" t="s">
        <v>662</v>
      </c>
      <c r="B28" s="657">
        <f>COUNTIF(C30:AG30,A28)</f>
        <v>0</v>
      </c>
      <c r="C28" s="6">
        <f t="shared" ref="C28:AG28" si="15">IFERROR(DAY(C26),"")</f>
        <v>1</v>
      </c>
      <c r="D28" s="3">
        <f t="shared" si="15"/>
        <v>2</v>
      </c>
      <c r="E28" s="3">
        <f t="shared" si="15"/>
        <v>3</v>
      </c>
      <c r="F28" s="3">
        <f t="shared" si="15"/>
        <v>4</v>
      </c>
      <c r="G28" s="3">
        <f t="shared" si="15"/>
        <v>5</v>
      </c>
      <c r="H28" s="3">
        <f t="shared" si="15"/>
        <v>6</v>
      </c>
      <c r="I28" s="3">
        <f t="shared" si="15"/>
        <v>7</v>
      </c>
      <c r="J28" s="3">
        <f t="shared" si="15"/>
        <v>8</v>
      </c>
      <c r="K28" s="3">
        <f t="shared" si="15"/>
        <v>9</v>
      </c>
      <c r="L28" s="3">
        <f t="shared" si="15"/>
        <v>10</v>
      </c>
      <c r="M28" s="3">
        <f t="shared" si="15"/>
        <v>11</v>
      </c>
      <c r="N28" s="3">
        <f t="shared" si="15"/>
        <v>12</v>
      </c>
      <c r="O28" s="3">
        <f t="shared" si="15"/>
        <v>13</v>
      </c>
      <c r="P28" s="3">
        <f t="shared" si="15"/>
        <v>14</v>
      </c>
      <c r="Q28" s="3">
        <f t="shared" si="15"/>
        <v>15</v>
      </c>
      <c r="R28" s="3">
        <f t="shared" si="15"/>
        <v>16</v>
      </c>
      <c r="S28" s="3">
        <f t="shared" si="15"/>
        <v>17</v>
      </c>
      <c r="T28" s="3">
        <f t="shared" si="15"/>
        <v>18</v>
      </c>
      <c r="U28" s="3">
        <f t="shared" si="15"/>
        <v>19</v>
      </c>
      <c r="V28" s="3">
        <f t="shared" si="15"/>
        <v>20</v>
      </c>
      <c r="W28" s="3">
        <f t="shared" si="15"/>
        <v>21</v>
      </c>
      <c r="X28" s="3">
        <f t="shared" si="15"/>
        <v>22</v>
      </c>
      <c r="Y28" s="3">
        <f t="shared" si="15"/>
        <v>23</v>
      </c>
      <c r="Z28" s="3">
        <f t="shared" si="15"/>
        <v>24</v>
      </c>
      <c r="AA28" s="3">
        <f t="shared" si="15"/>
        <v>25</v>
      </c>
      <c r="AB28" s="3">
        <f t="shared" si="15"/>
        <v>26</v>
      </c>
      <c r="AC28" s="3">
        <f t="shared" si="15"/>
        <v>27</v>
      </c>
      <c r="AD28" s="3">
        <f t="shared" si="15"/>
        <v>28</v>
      </c>
      <c r="AE28" s="3">
        <f t="shared" si="15"/>
        <v>29</v>
      </c>
      <c r="AF28" s="3">
        <f t="shared" si="15"/>
        <v>30</v>
      </c>
      <c r="AG28" s="7" t="str">
        <f t="shared" si="15"/>
        <v/>
      </c>
      <c r="AH28" s="648">
        <f>COUNTIF(C30:AG30,AI28)</f>
        <v>0</v>
      </c>
      <c r="AI28" s="10" t="s">
        <v>6</v>
      </c>
      <c r="AJ28" s="13">
        <v>12</v>
      </c>
      <c r="AK28" t="s">
        <v>5</v>
      </c>
      <c r="AL28" s="628" t="s">
        <v>8</v>
      </c>
      <c r="AM28" s="31">
        <v>43966</v>
      </c>
      <c r="AN28" s="31">
        <v>43969</v>
      </c>
      <c r="AO28" s="635">
        <f>Absences2681012149[[#This Row],[debut]]</f>
        <v>43966</v>
      </c>
      <c r="AP28" s="13"/>
      <c r="AS28" s="13"/>
      <c r="AT28" s="13"/>
      <c r="AU28" s="70"/>
      <c r="AV28" s="57"/>
      <c r="AW28" s="57"/>
      <c r="AX28" s="57"/>
      <c r="AY28" s="54"/>
      <c r="AZ28" s="54"/>
      <c r="BA28" s="54"/>
      <c r="BB28" s="55"/>
      <c r="BC28" s="56"/>
      <c r="BD28" s="56"/>
      <c r="BE28" s="56"/>
      <c r="BF28" s="56"/>
      <c r="BH28" s="290"/>
      <c r="BI28" s="351" t="s">
        <v>538</v>
      </c>
      <c r="BJ28" s="315" t="s">
        <v>539</v>
      </c>
      <c r="BK28" s="339"/>
      <c r="BL28" s="324"/>
      <c r="BM28" s="292"/>
      <c r="BN28" s="292"/>
      <c r="BO28" s="316"/>
      <c r="BP28" s="333" t="s">
        <v>666</v>
      </c>
      <c r="BQ28" s="340">
        <v>6</v>
      </c>
      <c r="BR28" s="335">
        <v>0.29166666666666669</v>
      </c>
      <c r="BS28" s="336">
        <v>0.60416666666666663</v>
      </c>
      <c r="BT28" s="337">
        <v>1</v>
      </c>
      <c r="BU28" s="338">
        <f>(BS28-BR28)-("00:30"*BT28)</f>
        <v>0.29166666666666663</v>
      </c>
      <c r="BV28" s="331"/>
      <c r="BW28" s="313"/>
      <c r="BZ28" s="359">
        <f t="shared" si="11"/>
        <v>44340</v>
      </c>
      <c r="CA28" s="360">
        <f>CA27+1</f>
        <v>44340</v>
      </c>
      <c r="CB28" s="361" t="s">
        <v>732</v>
      </c>
      <c r="CC28" s="563"/>
      <c r="CD28" s="563"/>
      <c r="CE28" s="563"/>
    </row>
    <row r="29" spans="1:83" ht="16.5" customHeight="1" thickBot="1" x14ac:dyDescent="0.3">
      <c r="A29" s="655" t="s">
        <v>800</v>
      </c>
      <c r="B29" s="658">
        <f>COUNTIF(C30:AG30,A29)</f>
        <v>7</v>
      </c>
      <c r="C29" s="5">
        <f t="shared" ref="C29:AC29" si="16">IF(C26="","",WEEKDAY(C26,1))</f>
        <v>4</v>
      </c>
      <c r="D29" s="8">
        <f t="shared" si="16"/>
        <v>5</v>
      </c>
      <c r="E29" s="8">
        <f t="shared" si="16"/>
        <v>6</v>
      </c>
      <c r="F29" s="8">
        <f t="shared" si="16"/>
        <v>7</v>
      </c>
      <c r="G29" s="8">
        <f t="shared" si="16"/>
        <v>1</v>
      </c>
      <c r="H29" s="8">
        <f t="shared" si="16"/>
        <v>2</v>
      </c>
      <c r="I29" s="8">
        <f t="shared" si="16"/>
        <v>3</v>
      </c>
      <c r="J29" s="8">
        <f t="shared" si="16"/>
        <v>4</v>
      </c>
      <c r="K29" s="8">
        <f t="shared" si="16"/>
        <v>5</v>
      </c>
      <c r="L29" s="8">
        <f t="shared" si="16"/>
        <v>6</v>
      </c>
      <c r="M29" s="8">
        <f t="shared" si="16"/>
        <v>7</v>
      </c>
      <c r="N29" s="8">
        <f t="shared" si="16"/>
        <v>1</v>
      </c>
      <c r="O29" s="8">
        <f t="shared" si="16"/>
        <v>2</v>
      </c>
      <c r="P29" s="8">
        <f t="shared" si="16"/>
        <v>3</v>
      </c>
      <c r="Q29" s="8">
        <f t="shared" si="16"/>
        <v>4</v>
      </c>
      <c r="R29" s="8">
        <f t="shared" si="16"/>
        <v>5</v>
      </c>
      <c r="S29" s="8">
        <f t="shared" si="16"/>
        <v>6</v>
      </c>
      <c r="T29" s="8">
        <f t="shared" si="16"/>
        <v>7</v>
      </c>
      <c r="U29" s="8">
        <f t="shared" si="16"/>
        <v>1</v>
      </c>
      <c r="V29" s="8">
        <f t="shared" si="16"/>
        <v>2</v>
      </c>
      <c r="W29" s="8">
        <f t="shared" si="16"/>
        <v>3</v>
      </c>
      <c r="X29" s="8">
        <f t="shared" si="16"/>
        <v>4</v>
      </c>
      <c r="Y29" s="8">
        <f t="shared" si="16"/>
        <v>5</v>
      </c>
      <c r="Z29" s="8">
        <f t="shared" si="16"/>
        <v>6</v>
      </c>
      <c r="AA29" s="8">
        <f t="shared" si="16"/>
        <v>7</v>
      </c>
      <c r="AB29" s="8">
        <f t="shared" si="16"/>
        <v>1</v>
      </c>
      <c r="AC29" s="8">
        <f t="shared" si="16"/>
        <v>2</v>
      </c>
      <c r="AD29" s="8">
        <f>IF(AD26="","",WEEKDAY(AD26,1))</f>
        <v>3</v>
      </c>
      <c r="AE29" s="8">
        <f>IF(AE26="","",WEEKDAY(AE26,1))</f>
        <v>4</v>
      </c>
      <c r="AF29" s="8">
        <f t="shared" ref="AF29:AG29" si="17">IF(AF26="","",WEEKDAY(AF26,1))</f>
        <v>5</v>
      </c>
      <c r="AG29" s="9" t="str">
        <f t="shared" si="17"/>
        <v/>
      </c>
      <c r="AH29" s="648">
        <f>COUNTIF(C30:AG30,AI29)</f>
        <v>0</v>
      </c>
      <c r="AI29" s="633" t="s">
        <v>799</v>
      </c>
      <c r="AJ29" s="13">
        <v>13</v>
      </c>
      <c r="AK29" t="s">
        <v>4</v>
      </c>
      <c r="AL29" s="629" t="s">
        <v>360</v>
      </c>
      <c r="AM29" s="31">
        <v>43831</v>
      </c>
      <c r="AN29" s="31">
        <v>43833</v>
      </c>
      <c r="AO29" s="635">
        <f>Absences2681012149[[#This Row],[debut]]</f>
        <v>43831</v>
      </c>
      <c r="AP29" s="13"/>
      <c r="AS29" s="13"/>
      <c r="AT29" s="13"/>
      <c r="AU29" s="94" t="s">
        <v>89</v>
      </c>
      <c r="AV29" s="50">
        <v>0.33333333333333331</v>
      </c>
      <c r="AW29" s="50">
        <v>0.64583333333333337</v>
      </c>
      <c r="AX29" s="51">
        <v>1</v>
      </c>
      <c r="AY29" s="52">
        <f>IF(AW29-AV29=0,0,(AW29-AV29)-(AX29*TIMEVALUE("00:30")))</f>
        <v>0.29166666666666674</v>
      </c>
      <c r="AZ29" s="53" t="s">
        <v>127</v>
      </c>
      <c r="BA29" s="54"/>
      <c r="BB29" s="55"/>
      <c r="BC29" s="56"/>
      <c r="BD29" s="56"/>
      <c r="BE29" s="56"/>
      <c r="BF29" s="56"/>
      <c r="BH29" s="290"/>
      <c r="BI29" s="351" t="s">
        <v>540</v>
      </c>
      <c r="BJ29" s="315" t="s">
        <v>541</v>
      </c>
      <c r="BK29" s="339"/>
      <c r="BL29" s="315"/>
      <c r="BM29" s="339"/>
      <c r="BN29" s="339"/>
      <c r="BO29" s="316"/>
      <c r="BP29" s="333" t="s">
        <v>553</v>
      </c>
      <c r="BQ29" s="340">
        <v>10</v>
      </c>
      <c r="BR29" s="335">
        <v>0</v>
      </c>
      <c r="BS29" s="336">
        <v>0</v>
      </c>
      <c r="BT29" s="337">
        <v>0</v>
      </c>
      <c r="BU29" s="338">
        <f>(BS29-BR29)-("00:30"*BT29)</f>
        <v>0</v>
      </c>
      <c r="BV29" s="331"/>
      <c r="BW29" s="308"/>
      <c r="BZ29" s="359">
        <f t="shared" si="11"/>
        <v>44391</v>
      </c>
      <c r="CA29" s="360">
        <f>DATE(BZ4+1,7,14)</f>
        <v>44391</v>
      </c>
      <c r="CB29" s="361" t="s">
        <v>733</v>
      </c>
      <c r="CC29" s="563"/>
      <c r="CD29" s="563"/>
      <c r="CE29" s="563"/>
    </row>
    <row r="30" spans="1:83" ht="15.75" customHeight="1" x14ac:dyDescent="0.25">
      <c r="A30" s="679" t="s">
        <v>7</v>
      </c>
      <c r="B30" s="658">
        <f>COUNTIF(C30:AG30,A30)</f>
        <v>0</v>
      </c>
      <c r="C30" s="693" t="str">
        <f t="array" ref="C30">IF(OR(C11=1,C11=7),"",IFERROR(INDEX($AK$17:$AN$116,MATCH(1,(C26&gt;=$AM$17:$AM$116)*($AN$17:$AN$116&gt;=C26)*($AK$17:$AK$116=$U$2),0),2),""))</f>
        <v/>
      </c>
      <c r="D30" s="694" t="str">
        <f t="array" ref="D30">IF(OR(D11=1,D11=7),"",IFERROR(INDEX($AK$17:$AN$116,MATCH(1,(D26&gt;=$AM$17:$AM$116)*($AN$17:$AN$116&gt;=D26)*($AK$17:$AK$116=$U$2),0),2),""))</f>
        <v/>
      </c>
      <c r="E30" s="694" t="str">
        <f t="array" ref="E30">IF(OR(E11=1,E11=7),"",IFERROR(INDEX($AK$17:$AN$116,MATCH(1,(E26&gt;=$AM$17:$AM$116)*($AN$17:$AN$116&gt;=E26)*($AK$17:$AK$116=$U$2),0),2),""))</f>
        <v/>
      </c>
      <c r="F30" s="694" t="str">
        <f t="array" ref="F30">IF(OR(F11=1,F11=7),"",IFERROR(INDEX($AK$17:$AN$116,MATCH(1,(F26&gt;=$AM$17:$AM$116)*($AN$17:$AN$116&gt;=F26)*($AK$17:$AK$116=$U$2),0),2),""))</f>
        <v/>
      </c>
      <c r="G30" s="694" t="str">
        <f t="array" ref="G30">IF(OR(G11=1,G11=7),"",IFERROR(INDEX($AK$17:$AN$116,MATCH(1,(G26&gt;=$AM$17:$AM$116)*($AN$17:$AN$116&gt;=G26)*($AK$17:$AK$116=$U$2),0),2),""))</f>
        <v/>
      </c>
      <c r="H30" s="694" t="str">
        <f t="array" ref="H30">IF(OR(H11=1,H11=7),"",IFERROR(INDEX($AK$17:$AN$116,MATCH(1,(H26&gt;=$AM$17:$AM$116)*($AN$17:$AN$116&gt;=H26)*($AK$17:$AK$116=$U$2),0),2),""))</f>
        <v/>
      </c>
      <c r="I30" s="694" t="str">
        <f t="array" ref="I30">IF(OR(I11=1,I11=7),"",IFERROR(INDEX($AK$17:$AN$116,MATCH(1,(I26&gt;=$AM$17:$AM$116)*($AN$17:$AN$116&gt;=I26)*($AK$17:$AK$116=$U$2),0),2),""))</f>
        <v/>
      </c>
      <c r="J30" s="694" t="str">
        <f t="array" ref="J30">IF(OR(J11=1,J11=7),"",IFERROR(INDEX($AK$17:$AN$116,MATCH(1,(J26&gt;=$AM$17:$AM$116)*($AN$17:$AN$116&gt;=J26)*($AK$17:$AK$116=$U$2),0),2),""))</f>
        <v/>
      </c>
      <c r="K30" s="694" t="str">
        <f t="array" ref="K30">IF(OR(K11=1,K11=7),"",IFERROR(INDEX($AK$17:$AN$116,MATCH(1,(K26&gt;=$AM$17:$AM$116)*($AN$17:$AN$116&gt;=K26)*($AK$17:$AK$116=$U$2),0),2),""))</f>
        <v/>
      </c>
      <c r="L30" s="694" t="str">
        <f t="array" ref="L30">IF(OR(L11=1,L11=7),"",IFERROR(INDEX($AK$17:$AN$116,MATCH(1,(L26&gt;=$AM$17:$AM$116)*($AN$17:$AN$116&gt;=L26)*($AK$17:$AK$116=$U$2),0),2),""))</f>
        <v/>
      </c>
      <c r="M30" s="694" t="str">
        <f t="array" ref="M30">IF(OR(M11=1,M11=7),"",IFERROR(INDEX($AK$17:$AN$116,MATCH(1,(M26&gt;=$AM$17:$AM$116)*($AN$17:$AN$116&gt;=M26)*($AK$17:$AK$116=$U$2),0),2),""))</f>
        <v/>
      </c>
      <c r="N30" s="694" t="str">
        <f t="array" ref="N30">IF(OR(N11=1,N11=7),"",IFERROR(INDEX($AK$17:$AN$116,MATCH(1,(N26&gt;=$AM$17:$AM$116)*($AN$17:$AN$116&gt;=N26)*($AK$17:$AK$116=$U$2),0),2),""))</f>
        <v/>
      </c>
      <c r="O30" s="694" t="str">
        <f t="array" ref="O30">IF(OR(O11=1,O11=7),"",IFERROR(INDEX($AK$17:$AN$116,MATCH(1,(O26&gt;=$AM$17:$AM$116)*($AN$17:$AN$116&gt;=O26)*($AK$17:$AK$116=$U$2),0),2),""))</f>
        <v/>
      </c>
      <c r="P30" s="694" t="str">
        <f t="array" ref="P30">IF(OR(P11=1,P11=7),"",IFERROR(INDEX($AK$17:$AN$116,MATCH(1,(P26&gt;=$AM$17:$AM$116)*($AN$17:$AN$116&gt;=P26)*($AK$17:$AK$116=$U$2),0),2),""))</f>
        <v/>
      </c>
      <c r="Q30" s="694" t="str">
        <f t="array" ref="Q30">IF(OR(Q11=1,Q11=7),"",IFERROR(INDEX($AK$17:$AN$116,MATCH(1,(Q26&gt;=$AM$17:$AM$116)*($AN$17:$AN$116&gt;=Q26)*($AK$17:$AK$116=$U$2),0),2),""))</f>
        <v/>
      </c>
      <c r="R30" s="694" t="str">
        <f t="array" ref="R30">IF(OR(R11=1,R11=7),"",IFERROR(INDEX($AK$17:$AN$116,MATCH(1,(R26&gt;=$AM$17:$AM$116)*($AN$17:$AN$116&gt;=R26)*($AK$17:$AK$116=$U$2),0),2),""))</f>
        <v/>
      </c>
      <c r="S30" s="694" t="str">
        <f t="array" ref="S30">IF(OR(S11=1,S11=7),"",IFERROR(INDEX($AK$17:$AN$116,MATCH(1,(S26&gt;=$AM$17:$AM$116)*($AN$17:$AN$116&gt;=S26)*($AK$17:$AK$116=$U$2),0),2),""))</f>
        <v/>
      </c>
      <c r="T30" s="694" t="str">
        <f t="array" ref="T30">IF(OR(T11=1,T11=7),"",IFERROR(INDEX($AK$17:$AN$116,MATCH(1,(T26&gt;=$AM$17:$AM$116)*($AN$17:$AN$116&gt;=T26)*($AK$17:$AK$116=$U$2),0),2),""))</f>
        <v/>
      </c>
      <c r="U30" s="694" t="str">
        <f t="array" ref="U30">IF(OR(U11=1,U11=7),"",IFERROR(INDEX($AK$17:$AN$116,MATCH(1,(U26&gt;=$AM$17:$AM$116)*($AN$17:$AN$116&gt;=U26)*($AK$17:$AK$116=$U$2),0),2),""))</f>
        <v/>
      </c>
      <c r="V30" s="694" t="str">
        <f t="array" ref="V30">IF(OR(V11=1,V11=7),"",IFERROR(INDEX($AK$17:$AN$116,MATCH(1,(V26&gt;=$AM$17:$AM$116)*($AN$17:$AN$116&gt;=V26)*($AK$17:$AK$116=$U$2),0),2),""))</f>
        <v>Cp</v>
      </c>
      <c r="W30" s="694" t="str">
        <f t="array" ref="W30">IF(OR(W11=1,W11=7),"",IFERROR(INDEX($AK$17:$AN$116,MATCH(1,(W26&gt;=$AM$17:$AM$116)*($AN$17:$AN$116&gt;=W26)*($AK$17:$AK$116=$U$2),0),2),""))</f>
        <v>Cp</v>
      </c>
      <c r="X30" s="694" t="str">
        <f t="array" ref="X30">IF(OR(X11=1,X11=7),"",IFERROR(INDEX($AK$17:$AN$116,MATCH(1,(X26&gt;=$AM$17:$AM$116)*($AN$17:$AN$116&gt;=X26)*($AK$17:$AK$116=$U$2),0),2),""))</f>
        <v>Cp</v>
      </c>
      <c r="Y30" s="694" t="str">
        <f t="array" ref="Y30">IF(OR(Y11=1,Y11=7),"",IFERROR(INDEX($AK$17:$AN$116,MATCH(1,(Y26&gt;=$AM$17:$AM$116)*($AN$17:$AN$116&gt;=Y26)*($AK$17:$AK$116=$U$2),0),2),""))</f>
        <v>Cp</v>
      </c>
      <c r="Z30" s="694" t="str">
        <f t="array" ref="Z30">IF(OR(Z11=1,Z11=7),"",IFERROR(INDEX($AK$17:$AN$116,MATCH(1,(Z26&gt;=$AM$17:$AM$116)*($AN$17:$AN$116&gt;=Z26)*($AK$17:$AK$116=$U$2),0),2),""))</f>
        <v>Cp</v>
      </c>
      <c r="AA30" s="694" t="str">
        <f t="array" ref="AA30">IF(OR(AA11=1,AA11=7),"",IFERROR(INDEX($AK$17:$AN$116,MATCH(1,(AA26&gt;=$AM$17:$AM$116)*($AN$17:$AN$116&gt;=AA26)*($AK$17:$AK$116=$U$2),0),2),""))</f>
        <v/>
      </c>
      <c r="AB30" s="694" t="str">
        <f t="array" ref="AB30">IF(OR(AB11=1,AB11=7),"",IFERROR(INDEX($AK$17:$AN$116,MATCH(1,(AB26&gt;=$AM$17:$AM$116)*($AN$17:$AN$116&gt;=AB26)*($AK$17:$AK$116=$U$2),0),2),""))</f>
        <v/>
      </c>
      <c r="AC30" s="694" t="str">
        <f t="array" ref="AC30">IF(OR(AC11=1,AC11=7),"",IFERROR(INDEX($AK$17:$AN$116,MATCH(1,(AC26&gt;=$AM$17:$AM$116)*($AN$17:$AN$116&gt;=AC26)*($AK$17:$AK$116=$U$2),0),2),""))</f>
        <v>Cp</v>
      </c>
      <c r="AD30" s="694" t="str">
        <f t="array" ref="AD30">IF(OR(AD11=1,AD11=7),"",IFERROR(INDEX($AK$17:$AN$116,MATCH(1,(AD26&gt;=$AM$17:$AM$116)*($AN$17:$AN$116&gt;=AD26)*($AK$17:$AK$116=$U$2),0),2),""))</f>
        <v>Cp</v>
      </c>
      <c r="AE30" s="694" t="str">
        <f t="array" ref="AE30">IF(OR(AE11=1,AE11=7),"",IFERROR(INDEX($AK$17:$AN$116,MATCH(1,(AE26&gt;=$AM$17:$AM$116)*($AN$17:$AN$116&gt;=AE26)*($AK$17:$AK$116=$U$2),0),2),""))</f>
        <v/>
      </c>
      <c r="AF30" s="694" t="str">
        <f t="array" ref="AF30">IF(OR(AF11=1,AF11=7),"",IFERROR(INDEX($AK$17:$AN$116,MATCH(1,(AF26&gt;=$AM$17:$AM$116)*($AN$17:$AN$116&gt;=AF26)*($AK$17:$AK$116=$U$2),0),2),""))</f>
        <v/>
      </c>
      <c r="AG30" s="695" t="str">
        <f t="array" ref="AG30">IF(OR(AG11=1,AG11=7),"",IFERROR(INDEX($AK$17:$AN$116,MATCH(1,(AG26&gt;=$AM$17:$AM$116)*($AN$17:$AN$116&gt;=AG26)*($AK$17:$AK$116=$U$2),0),2),""))</f>
        <v/>
      </c>
      <c r="AH30" s="648">
        <f>COUNTIF(C30:AG30,AI30)</f>
        <v>0</v>
      </c>
      <c r="AI30" s="639" t="s">
        <v>362</v>
      </c>
      <c r="AJ30" s="13">
        <v>14</v>
      </c>
      <c r="AK30" t="s">
        <v>5</v>
      </c>
      <c r="AL30" s="10" t="s">
        <v>6</v>
      </c>
      <c r="AM30" s="31">
        <v>44142</v>
      </c>
      <c r="AN30" s="31">
        <v>44152</v>
      </c>
      <c r="AO30" s="635">
        <f>Absences2681012149[[#This Row],[debut]]</f>
        <v>44142</v>
      </c>
      <c r="AP30" s="13"/>
      <c r="AQ30" s="623" t="s">
        <v>826</v>
      </c>
      <c r="AR30" s="13"/>
      <c r="AS30" s="13"/>
      <c r="AT30" s="13"/>
      <c r="AU30" s="70"/>
      <c r="AV30" s="57"/>
      <c r="AW30" s="57"/>
      <c r="AX30" s="57"/>
      <c r="AY30" s="54"/>
      <c r="AZ30" s="54"/>
      <c r="BA30" s="54"/>
      <c r="BB30" s="55"/>
      <c r="BC30" s="56"/>
      <c r="BD30" s="56"/>
      <c r="BE30" s="56"/>
      <c r="BF30" s="56"/>
      <c r="BH30" s="290"/>
      <c r="BI30" s="352" t="s">
        <v>544</v>
      </c>
      <c r="BJ30" s="315" t="s">
        <v>545</v>
      </c>
      <c r="BK30" s="292"/>
      <c r="BL30" s="292"/>
      <c r="BM30" s="292"/>
      <c r="BN30" s="294"/>
      <c r="BO30" s="316"/>
      <c r="BP30" s="333" t="s">
        <v>668</v>
      </c>
      <c r="BQ30" s="340">
        <v>13</v>
      </c>
      <c r="BR30" s="335">
        <v>0.29166666666666669</v>
      </c>
      <c r="BS30" s="336">
        <v>0.625</v>
      </c>
      <c r="BT30" s="337">
        <v>1</v>
      </c>
      <c r="BU30" s="338">
        <f t="shared" ref="BU30:BU42" si="18">(BS30-BR30)-("00:30"*BT30)</f>
        <v>0.3125</v>
      </c>
      <c r="BV30" s="331"/>
      <c r="BW30" s="313"/>
      <c r="BZ30" s="359">
        <f t="shared" si="11"/>
        <v>44423</v>
      </c>
      <c r="CA30" s="360">
        <f>DATE(BZ4+1,8,15)</f>
        <v>44423</v>
      </c>
      <c r="CB30" s="361" t="s">
        <v>586</v>
      </c>
      <c r="CC30" s="563"/>
      <c r="CD30" s="563"/>
      <c r="CE30" s="563"/>
    </row>
    <row r="31" spans="1:83" ht="16.5" customHeight="1" thickBot="1" x14ac:dyDescent="0.3">
      <c r="A31" s="678"/>
      <c r="B31" s="40">
        <f>COUNTA(C31:AG31)</f>
        <v>0</v>
      </c>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677"/>
      <c r="AI31" s="678"/>
      <c r="AJ31" s="13">
        <v>15</v>
      </c>
      <c r="AL31" s="23"/>
      <c r="AM31" s="31"/>
      <c r="AN31" s="31"/>
      <c r="AO31" s="635">
        <f>Absences2681012149[[#This Row],[debut]]</f>
        <v>0</v>
      </c>
      <c r="AP31" s="13"/>
      <c r="AQ31" s="13"/>
      <c r="AR31" s="13"/>
      <c r="AS31" s="13"/>
      <c r="AT31" s="13"/>
      <c r="AU31" s="94" t="s">
        <v>90</v>
      </c>
      <c r="AV31" s="50">
        <v>0.29166666666666669</v>
      </c>
      <c r="AW31" s="50">
        <v>0.64583333333333337</v>
      </c>
      <c r="AX31" s="51">
        <v>1</v>
      </c>
      <c r="AY31" s="52">
        <f>IF(AW31-AV31=0,0,(AW31-AV31)-(AX31*TIMEVALUE("00:30")))</f>
        <v>0.33333333333333337</v>
      </c>
      <c r="AZ31" s="53" t="s">
        <v>128</v>
      </c>
      <c r="BA31" s="54"/>
      <c r="BB31" s="55"/>
      <c r="BC31" s="56"/>
      <c r="BD31" s="56"/>
      <c r="BE31" s="56"/>
      <c r="BF31" s="56"/>
      <c r="BH31" s="290"/>
      <c r="BI31" s="351" t="s">
        <v>548</v>
      </c>
      <c r="BJ31" s="315" t="s">
        <v>549</v>
      </c>
      <c r="BK31" s="292"/>
      <c r="BL31" s="292"/>
      <c r="BM31" s="292"/>
      <c r="BN31" s="294"/>
      <c r="BO31" s="316"/>
      <c r="BP31" s="333" t="s">
        <v>669</v>
      </c>
      <c r="BQ31" s="341">
        <v>13</v>
      </c>
      <c r="BR31" s="342">
        <v>0.5625</v>
      </c>
      <c r="BS31" s="343">
        <v>0.60416666666666663</v>
      </c>
      <c r="BT31" s="344">
        <v>0</v>
      </c>
      <c r="BU31" s="345">
        <f t="shared" si="18"/>
        <v>4.166666666666663E-2</v>
      </c>
      <c r="BV31" s="331"/>
      <c r="BW31" s="313"/>
      <c r="BZ31" s="359">
        <f t="shared" si="11"/>
        <v>44501</v>
      </c>
      <c r="CA31" s="360">
        <f>DATE(BZ4+1,11,1)</f>
        <v>44501</v>
      </c>
      <c r="CB31" s="361" t="s">
        <v>735</v>
      </c>
      <c r="CC31" s="563"/>
      <c r="CD31" s="563"/>
      <c r="CE31" s="563"/>
    </row>
    <row r="32" spans="1:83" ht="14.25" customHeight="1" x14ac:dyDescent="0.25">
      <c r="A32" s="651"/>
      <c r="B32" s="20">
        <f>DATE($C$2,MONTH(1&amp;"/"&amp;C33),1)</f>
        <v>43952</v>
      </c>
      <c r="C32" s="14">
        <f>B32</f>
        <v>43952</v>
      </c>
      <c r="D32" s="14">
        <f>IFERROR(IF(C32+1&gt;$B$33,"",C32+1),"")</f>
        <v>43953</v>
      </c>
      <c r="E32" s="14">
        <f t="shared" ref="E32:AG32" si="19">IFERROR(IF(D32+1&gt;$B$33,"",D32+1),"")</f>
        <v>43954</v>
      </c>
      <c r="F32" s="14">
        <f t="shared" si="19"/>
        <v>43955</v>
      </c>
      <c r="G32" s="14">
        <f t="shared" si="19"/>
        <v>43956</v>
      </c>
      <c r="H32" s="14">
        <f t="shared" si="19"/>
        <v>43957</v>
      </c>
      <c r="I32" s="14">
        <f t="shared" si="19"/>
        <v>43958</v>
      </c>
      <c r="J32" s="14">
        <f t="shared" si="19"/>
        <v>43959</v>
      </c>
      <c r="K32" s="14">
        <f t="shared" si="19"/>
        <v>43960</v>
      </c>
      <c r="L32" s="14">
        <f t="shared" si="19"/>
        <v>43961</v>
      </c>
      <c r="M32" s="14">
        <f t="shared" si="19"/>
        <v>43962</v>
      </c>
      <c r="N32" s="14">
        <f t="shared" si="19"/>
        <v>43963</v>
      </c>
      <c r="O32" s="14">
        <f t="shared" si="19"/>
        <v>43964</v>
      </c>
      <c r="P32" s="14">
        <f t="shared" si="19"/>
        <v>43965</v>
      </c>
      <c r="Q32" s="14">
        <f t="shared" si="19"/>
        <v>43966</v>
      </c>
      <c r="R32" s="14">
        <f t="shared" si="19"/>
        <v>43967</v>
      </c>
      <c r="S32" s="14">
        <f t="shared" si="19"/>
        <v>43968</v>
      </c>
      <c r="T32" s="14">
        <f t="shared" si="19"/>
        <v>43969</v>
      </c>
      <c r="U32" s="14">
        <f t="shared" si="19"/>
        <v>43970</v>
      </c>
      <c r="V32" s="14">
        <f t="shared" si="19"/>
        <v>43971</v>
      </c>
      <c r="W32" s="14">
        <f t="shared" si="19"/>
        <v>43972</v>
      </c>
      <c r="X32" s="14">
        <f t="shared" si="19"/>
        <v>43973</v>
      </c>
      <c r="Y32" s="14">
        <f t="shared" si="19"/>
        <v>43974</v>
      </c>
      <c r="Z32" s="14">
        <f t="shared" si="19"/>
        <v>43975</v>
      </c>
      <c r="AA32" s="14">
        <f t="shared" si="19"/>
        <v>43976</v>
      </c>
      <c r="AB32" s="14">
        <f t="shared" si="19"/>
        <v>43977</v>
      </c>
      <c r="AC32" s="14">
        <f t="shared" si="19"/>
        <v>43978</v>
      </c>
      <c r="AD32" s="14">
        <f t="shared" si="19"/>
        <v>43979</v>
      </c>
      <c r="AE32" s="14">
        <f t="shared" si="19"/>
        <v>43980</v>
      </c>
      <c r="AF32" s="14">
        <f t="shared" si="19"/>
        <v>43981</v>
      </c>
      <c r="AG32" s="14">
        <f t="shared" si="19"/>
        <v>43982</v>
      </c>
      <c r="AH32" s="647">
        <f>COUNTIF(C36:AG36,AI32)</f>
        <v>4</v>
      </c>
      <c r="AI32" s="640" t="s">
        <v>8</v>
      </c>
      <c r="AJ32" s="13">
        <v>16</v>
      </c>
      <c r="AL32" s="23"/>
      <c r="AM32" s="31"/>
      <c r="AN32" s="31"/>
      <c r="AO32" s="635">
        <f>Absences2681012149[[#This Row],[debut]]</f>
        <v>0</v>
      </c>
      <c r="AP32" s="13"/>
      <c r="AQ32" s="13"/>
      <c r="AR32" s="45"/>
      <c r="AS32" s="45"/>
      <c r="AT32" s="45"/>
      <c r="AU32" s="70"/>
      <c r="AV32" s="57"/>
      <c r="AW32" s="57"/>
      <c r="AX32" s="57"/>
      <c r="AY32" s="54"/>
      <c r="AZ32" s="54"/>
      <c r="BA32" s="54"/>
      <c r="BB32" s="55"/>
      <c r="BC32" s="56"/>
      <c r="BD32" s="56"/>
      <c r="BE32" s="56"/>
      <c r="BF32" s="56"/>
      <c r="BH32" s="290"/>
      <c r="BI32" s="353" t="s">
        <v>670</v>
      </c>
      <c r="BJ32" s="315" t="s">
        <v>550</v>
      </c>
      <c r="BK32" s="315"/>
      <c r="BL32" s="315"/>
      <c r="BM32" s="315"/>
      <c r="BN32" s="315"/>
      <c r="BO32" s="316"/>
      <c r="BP32" s="333" t="s">
        <v>671</v>
      </c>
      <c r="BQ32" s="340">
        <v>14</v>
      </c>
      <c r="BR32" s="335">
        <v>0.25</v>
      </c>
      <c r="BS32" s="336">
        <v>0.5625</v>
      </c>
      <c r="BT32" s="337">
        <v>1</v>
      </c>
      <c r="BU32" s="338">
        <f t="shared" si="18"/>
        <v>0.29166666666666669</v>
      </c>
      <c r="BV32" s="315"/>
      <c r="BW32" s="313"/>
      <c r="BZ32" s="359">
        <f t="shared" si="11"/>
        <v>44511</v>
      </c>
      <c r="CA32" s="360">
        <f>DATE(BZ4+1,11,11)</f>
        <v>44511</v>
      </c>
      <c r="CB32" s="361" t="s">
        <v>587</v>
      </c>
      <c r="CC32" s="563"/>
      <c r="CD32" s="563"/>
      <c r="CE32" s="563"/>
    </row>
    <row r="33" spans="1:83" ht="21.75" thickBot="1" x14ac:dyDescent="0.3">
      <c r="A33" s="652"/>
      <c r="B33" s="21">
        <f>EOMONTH(B32,0)</f>
        <v>43982</v>
      </c>
      <c r="C33" s="1476" t="s">
        <v>46</v>
      </c>
      <c r="D33" s="1477"/>
      <c r="E33" s="1477"/>
      <c r="F33" s="1477"/>
      <c r="G33" s="1477"/>
      <c r="H33" s="1477"/>
      <c r="I33" s="1477"/>
      <c r="J33" s="1477"/>
      <c r="K33" s="1477"/>
      <c r="L33" s="1477"/>
      <c r="M33" s="1477"/>
      <c r="N33" s="1477"/>
      <c r="O33" s="1477"/>
      <c r="P33" s="1477"/>
      <c r="Q33" s="1477"/>
      <c r="R33" s="1477"/>
      <c r="S33" s="1477"/>
      <c r="T33" s="1477"/>
      <c r="U33" s="1477"/>
      <c r="V33" s="1477"/>
      <c r="W33" s="1477"/>
      <c r="X33" s="1477"/>
      <c r="Y33" s="1477"/>
      <c r="Z33" s="1477"/>
      <c r="AA33" s="1477"/>
      <c r="AB33" s="1477"/>
      <c r="AC33" s="1477"/>
      <c r="AD33" s="1477"/>
      <c r="AE33" s="1477"/>
      <c r="AF33" s="1477"/>
      <c r="AG33" s="1478"/>
      <c r="AH33" s="648">
        <f>COUNTIF(C36:AG36,AI33)</f>
        <v>0</v>
      </c>
      <c r="AI33" s="629" t="s">
        <v>360</v>
      </c>
      <c r="AJ33" s="13">
        <v>17</v>
      </c>
      <c r="AL33" s="23"/>
      <c r="AM33" s="31"/>
      <c r="AN33" s="31"/>
      <c r="AO33" s="635">
        <f>Absences2681012149[[#This Row],[debut]]</f>
        <v>0</v>
      </c>
      <c r="AP33" s="13"/>
      <c r="AQ33" s="13"/>
      <c r="AR33" s="13"/>
      <c r="AS33" s="13"/>
      <c r="AT33" s="13"/>
      <c r="AU33" s="94" t="s">
        <v>91</v>
      </c>
      <c r="AV33" s="50">
        <v>0.25</v>
      </c>
      <c r="AW33" s="50">
        <v>0.58333333333333337</v>
      </c>
      <c r="AX33" s="51">
        <v>1</v>
      </c>
      <c r="AY33" s="52">
        <f>IF(AW33-AV33=0,0,(AW33-AV33)-(AX33*TIMEVALUE("00:30")))</f>
        <v>0.31250000000000006</v>
      </c>
      <c r="AZ33" s="53" t="s">
        <v>69</v>
      </c>
      <c r="BA33" s="54"/>
      <c r="BB33" s="55"/>
      <c r="BC33" s="56"/>
      <c r="BD33" s="56"/>
      <c r="BE33" s="56"/>
      <c r="BF33" s="56"/>
      <c r="BH33" s="290"/>
      <c r="BI33" s="354" t="s">
        <v>515</v>
      </c>
      <c r="BJ33" s="315" t="s">
        <v>516</v>
      </c>
      <c r="BK33" s="294"/>
      <c r="BL33" s="294"/>
      <c r="BM33" s="294"/>
      <c r="BN33" s="294"/>
      <c r="BO33" s="316"/>
      <c r="BP33" s="333" t="s">
        <v>672</v>
      </c>
      <c r="BQ33" s="341">
        <v>14</v>
      </c>
      <c r="BR33" s="342">
        <v>0</v>
      </c>
      <c r="BS33" s="343">
        <v>0</v>
      </c>
      <c r="BT33" s="344">
        <v>0</v>
      </c>
      <c r="BU33" s="345">
        <f>(BS33-BR33)-("00:30"*BT33)</f>
        <v>0</v>
      </c>
      <c r="BV33" s="294"/>
      <c r="BW33" s="313"/>
      <c r="BZ33" s="359">
        <f t="shared" si="11"/>
        <v>44555</v>
      </c>
      <c r="CA33" s="360">
        <f>DATE(BZ4+1,12,25)</f>
        <v>44555</v>
      </c>
      <c r="CB33" s="361" t="s">
        <v>723</v>
      </c>
      <c r="CC33" s="563"/>
      <c r="CD33" s="563"/>
      <c r="CE33" s="563"/>
    </row>
    <row r="34" spans="1:83" ht="15.75" customHeight="1" x14ac:dyDescent="0.25">
      <c r="A34" s="654" t="s">
        <v>662</v>
      </c>
      <c r="B34" s="657">
        <f>COUNTIF(C36:AG36,A34)</f>
        <v>0</v>
      </c>
      <c r="C34" s="6">
        <f t="shared" ref="C34:AG34" si="20">IFERROR(DAY(C32),"")</f>
        <v>1</v>
      </c>
      <c r="D34" s="3">
        <f t="shared" si="20"/>
        <v>2</v>
      </c>
      <c r="E34" s="3">
        <f t="shared" si="20"/>
        <v>3</v>
      </c>
      <c r="F34" s="3">
        <f t="shared" si="20"/>
        <v>4</v>
      </c>
      <c r="G34" s="3">
        <f t="shared" si="20"/>
        <v>5</v>
      </c>
      <c r="H34" s="3">
        <f t="shared" si="20"/>
        <v>6</v>
      </c>
      <c r="I34" s="3">
        <f t="shared" si="20"/>
        <v>7</v>
      </c>
      <c r="J34" s="3">
        <f t="shared" si="20"/>
        <v>8</v>
      </c>
      <c r="K34" s="3">
        <f t="shared" si="20"/>
        <v>9</v>
      </c>
      <c r="L34" s="3">
        <f t="shared" si="20"/>
        <v>10</v>
      </c>
      <c r="M34" s="3">
        <f t="shared" si="20"/>
        <v>11</v>
      </c>
      <c r="N34" s="3">
        <f t="shared" si="20"/>
        <v>12</v>
      </c>
      <c r="O34" s="3">
        <f t="shared" si="20"/>
        <v>13</v>
      </c>
      <c r="P34" s="3">
        <f t="shared" si="20"/>
        <v>14</v>
      </c>
      <c r="Q34" s="3">
        <f t="shared" si="20"/>
        <v>15</v>
      </c>
      <c r="R34" s="3">
        <f t="shared" si="20"/>
        <v>16</v>
      </c>
      <c r="S34" s="3">
        <f t="shared" si="20"/>
        <v>17</v>
      </c>
      <c r="T34" s="3">
        <f t="shared" si="20"/>
        <v>18</v>
      </c>
      <c r="U34" s="3">
        <f t="shared" si="20"/>
        <v>19</v>
      </c>
      <c r="V34" s="3">
        <f t="shared" si="20"/>
        <v>20</v>
      </c>
      <c r="W34" s="3">
        <f t="shared" si="20"/>
        <v>21</v>
      </c>
      <c r="X34" s="3">
        <f t="shared" si="20"/>
        <v>22</v>
      </c>
      <c r="Y34" s="3">
        <f t="shared" si="20"/>
        <v>23</v>
      </c>
      <c r="Z34" s="3">
        <f t="shared" si="20"/>
        <v>24</v>
      </c>
      <c r="AA34" s="3">
        <f t="shared" si="20"/>
        <v>25</v>
      </c>
      <c r="AB34" s="3">
        <f t="shared" si="20"/>
        <v>26</v>
      </c>
      <c r="AC34" s="3">
        <f t="shared" si="20"/>
        <v>27</v>
      </c>
      <c r="AD34" s="3">
        <f t="shared" si="20"/>
        <v>28</v>
      </c>
      <c r="AE34" s="3">
        <f t="shared" si="20"/>
        <v>29</v>
      </c>
      <c r="AF34" s="3">
        <f t="shared" si="20"/>
        <v>30</v>
      </c>
      <c r="AG34" s="7">
        <f t="shared" si="20"/>
        <v>31</v>
      </c>
      <c r="AH34" s="648">
        <f>COUNTIF(C36:AG36,AI34)</f>
        <v>0</v>
      </c>
      <c r="AI34" s="10" t="s">
        <v>6</v>
      </c>
      <c r="AJ34" s="13">
        <v>18</v>
      </c>
      <c r="AL34" s="23"/>
      <c r="AM34" s="31"/>
      <c r="AN34" s="31"/>
      <c r="AO34" s="635">
        <f>Absences2681012149[[#This Row],[debut]]</f>
        <v>0</v>
      </c>
      <c r="AP34" s="13"/>
      <c r="AQ34" s="13"/>
      <c r="AR34" s="13"/>
      <c r="AS34" s="13"/>
      <c r="AT34" s="13"/>
      <c r="AU34" s="1506" t="s">
        <v>70</v>
      </c>
      <c r="AV34" s="1506"/>
      <c r="AW34" s="1506"/>
      <c r="AX34" s="1506"/>
      <c r="AY34" s="1506"/>
      <c r="AZ34" s="1506"/>
      <c r="BA34" s="1506"/>
      <c r="BB34" s="1506"/>
      <c r="BC34" s="1506"/>
      <c r="BD34" s="1506"/>
      <c r="BE34" s="1506"/>
      <c r="BF34" s="1506"/>
      <c r="BH34" s="290"/>
      <c r="BI34" s="354" t="s">
        <v>518</v>
      </c>
      <c r="BJ34" s="315" t="s">
        <v>519</v>
      </c>
      <c r="BK34" s="294"/>
      <c r="BL34" s="294"/>
      <c r="BM34" s="294"/>
      <c r="BN34" s="294"/>
      <c r="BO34" s="316"/>
      <c r="BP34" s="333" t="s">
        <v>673</v>
      </c>
      <c r="BQ34" s="340">
        <v>16</v>
      </c>
      <c r="BR34" s="335">
        <v>0.3125</v>
      </c>
      <c r="BS34" s="336">
        <v>0.5</v>
      </c>
      <c r="BT34" s="337">
        <v>1</v>
      </c>
      <c r="BU34" s="338">
        <f t="shared" si="18"/>
        <v>0.16666666666666666</v>
      </c>
      <c r="BV34" s="294"/>
      <c r="BW34" s="313"/>
      <c r="BZ34" s="366">
        <f>CA34</f>
        <v>44562</v>
      </c>
      <c r="CA34" s="367">
        <f>DATE(BZ4+2,1,1)</f>
        <v>44562</v>
      </c>
      <c r="CB34" s="368" t="s">
        <v>721</v>
      </c>
      <c r="CC34" s="563"/>
      <c r="CD34" s="563"/>
      <c r="CE34" s="563"/>
    </row>
    <row r="35" spans="1:83" ht="16.5" customHeight="1" x14ac:dyDescent="0.25">
      <c r="A35" s="655" t="s">
        <v>800</v>
      </c>
      <c r="B35" s="658">
        <f>COUNTIF(C36:AG36,A35)</f>
        <v>0</v>
      </c>
      <c r="C35" s="5">
        <f t="shared" ref="C35:AC35" si="21">IF(C32="","",WEEKDAY(C32,1))</f>
        <v>6</v>
      </c>
      <c r="D35" s="8">
        <f t="shared" si="21"/>
        <v>7</v>
      </c>
      <c r="E35" s="8">
        <f t="shared" si="21"/>
        <v>1</v>
      </c>
      <c r="F35" s="8">
        <f t="shared" si="21"/>
        <v>2</v>
      </c>
      <c r="G35" s="8">
        <f t="shared" si="21"/>
        <v>3</v>
      </c>
      <c r="H35" s="8">
        <f t="shared" si="21"/>
        <v>4</v>
      </c>
      <c r="I35" s="8">
        <f t="shared" si="21"/>
        <v>5</v>
      </c>
      <c r="J35" s="8">
        <f t="shared" si="21"/>
        <v>6</v>
      </c>
      <c r="K35" s="8">
        <f t="shared" si="21"/>
        <v>7</v>
      </c>
      <c r="L35" s="8">
        <f t="shared" si="21"/>
        <v>1</v>
      </c>
      <c r="M35" s="8">
        <f t="shared" si="21"/>
        <v>2</v>
      </c>
      <c r="N35" s="8">
        <f t="shared" si="21"/>
        <v>3</v>
      </c>
      <c r="O35" s="8">
        <f t="shared" si="21"/>
        <v>4</v>
      </c>
      <c r="P35" s="8">
        <f t="shared" si="21"/>
        <v>5</v>
      </c>
      <c r="Q35" s="8">
        <f t="shared" si="21"/>
        <v>6</v>
      </c>
      <c r="R35" s="8">
        <f t="shared" si="21"/>
        <v>7</v>
      </c>
      <c r="S35" s="8">
        <f t="shared" si="21"/>
        <v>1</v>
      </c>
      <c r="T35" s="8">
        <f t="shared" si="21"/>
        <v>2</v>
      </c>
      <c r="U35" s="8">
        <f t="shared" si="21"/>
        <v>3</v>
      </c>
      <c r="V35" s="8">
        <f t="shared" si="21"/>
        <v>4</v>
      </c>
      <c r="W35" s="8">
        <f t="shared" si="21"/>
        <v>5</v>
      </c>
      <c r="X35" s="8">
        <f t="shared" si="21"/>
        <v>6</v>
      </c>
      <c r="Y35" s="8">
        <f t="shared" si="21"/>
        <v>7</v>
      </c>
      <c r="Z35" s="8">
        <f t="shared" si="21"/>
        <v>1</v>
      </c>
      <c r="AA35" s="8">
        <f t="shared" si="21"/>
        <v>2</v>
      </c>
      <c r="AB35" s="8">
        <f t="shared" si="21"/>
        <v>3</v>
      </c>
      <c r="AC35" s="8">
        <f t="shared" si="21"/>
        <v>4</v>
      </c>
      <c r="AD35" s="8">
        <f>IF(AD32="","",WEEKDAY(AD32,1))</f>
        <v>5</v>
      </c>
      <c r="AE35" s="8">
        <f>IF(AE32="","",WEEKDAY(AE32,1))</f>
        <v>6</v>
      </c>
      <c r="AF35" s="8">
        <f t="shared" ref="AF35:AG35" si="22">IF(AF32="","",WEEKDAY(AF32,1))</f>
        <v>7</v>
      </c>
      <c r="AG35" s="9">
        <f t="shared" si="22"/>
        <v>1</v>
      </c>
      <c r="AH35" s="648">
        <f>COUNTIF(C36:AG36,AI35)</f>
        <v>0</v>
      </c>
      <c r="AI35" s="633" t="s">
        <v>799</v>
      </c>
      <c r="AJ35" s="13">
        <v>19</v>
      </c>
      <c r="AL35" s="23"/>
      <c r="AM35" s="31"/>
      <c r="AN35" s="31"/>
      <c r="AO35" s="635">
        <f>Absences2681012149[[#This Row],[debut]]</f>
        <v>0</v>
      </c>
      <c r="AP35" s="13"/>
      <c r="AQ35" s="13"/>
      <c r="AR35" s="13"/>
      <c r="AS35" s="13"/>
      <c r="AT35" s="13"/>
      <c r="AU35" s="1506"/>
      <c r="AV35" s="1506"/>
      <c r="AW35" s="1506"/>
      <c r="AX35" s="1506"/>
      <c r="AY35" s="1506"/>
      <c r="AZ35" s="1506"/>
      <c r="BA35" s="1506"/>
      <c r="BB35" s="1506"/>
      <c r="BC35" s="1506"/>
      <c r="BD35" s="1506"/>
      <c r="BE35" s="1506"/>
      <c r="BF35" s="1506"/>
      <c r="BH35" s="290"/>
      <c r="BI35" s="354" t="s">
        <v>520</v>
      </c>
      <c r="BJ35" s="315" t="s">
        <v>521</v>
      </c>
      <c r="BK35" s="294"/>
      <c r="BL35" s="294"/>
      <c r="BM35" s="294"/>
      <c r="BN35" s="294"/>
      <c r="BO35" s="316"/>
      <c r="BP35" s="333" t="s">
        <v>674</v>
      </c>
      <c r="BQ35" s="340">
        <v>17</v>
      </c>
      <c r="BR35" s="335">
        <v>0.52083333333333337</v>
      </c>
      <c r="BS35" s="336">
        <v>0.66666666666666663</v>
      </c>
      <c r="BT35" s="337">
        <v>1</v>
      </c>
      <c r="BU35" s="338">
        <f t="shared" si="18"/>
        <v>0.12499999999999993</v>
      </c>
      <c r="BV35" s="294"/>
      <c r="BW35" s="313"/>
    </row>
    <row r="36" spans="1:83" ht="15.75" customHeight="1" x14ac:dyDescent="0.25">
      <c r="A36" s="679" t="s">
        <v>7</v>
      </c>
      <c r="B36" s="658">
        <f>COUNTIF(C36:AG36,A36)</f>
        <v>0</v>
      </c>
      <c r="C36" s="693" t="str">
        <f t="array" ref="C36">IF(OR(C35=1,C35=7),"",IFERROR(INDEX($AK$17:$AN$116,MATCH(1,(C32&gt;=$AM$17:$AM$116)*($AN$17:$AN$116&gt;=C32)*($AK$17:$AK$116=$U$2),0),2),""))</f>
        <v/>
      </c>
      <c r="D36" s="694" t="str">
        <f t="array" ref="D36">IF(OR(D35=1,D35=7),"",IFERROR(INDEX($AK$17:$AN$116,MATCH(1,(D32&gt;=$AM$17:$AM$116)*($AN$17:$AN$116&gt;=D32)*($AK$17:$AK$116=$U$2),0),2),""))</f>
        <v/>
      </c>
      <c r="E36" s="694" t="str">
        <f t="array" ref="E36">IF(OR(E35=1,E35=7),"",IFERROR(INDEX($AK$17:$AN$116,MATCH(1,(E32&gt;=$AM$17:$AM$116)*($AN$17:$AN$116&gt;=E32)*($AK$17:$AK$116=$U$2),0),2),""))</f>
        <v/>
      </c>
      <c r="F36" s="694" t="str">
        <f t="array" ref="F36">IF(OR(F35=1,F35=7),"",IFERROR(INDEX($AK$17:$AN$116,MATCH(1,(F32&gt;=$AM$17:$AM$116)*($AN$17:$AN$116&gt;=F32)*($AK$17:$AK$116=$U$2),0),2),""))</f>
        <v/>
      </c>
      <c r="G36" s="694" t="str">
        <f t="array" ref="G36">IF(OR(G35=1,G35=7),"",IFERROR(INDEX($AK$17:$AN$116,MATCH(1,(G32&gt;=$AM$17:$AM$116)*($AN$17:$AN$116&gt;=G32)*($AK$17:$AK$116=$U$2),0),2),""))</f>
        <v/>
      </c>
      <c r="H36" s="694" t="str">
        <f t="array" ref="H36">IF(OR(H35=1,H35=7),"",IFERROR(INDEX($AK$17:$AN$116,MATCH(1,(H32&gt;=$AM$17:$AM$116)*($AN$17:$AN$116&gt;=H32)*($AK$17:$AK$116=$U$2),0),2),""))</f>
        <v/>
      </c>
      <c r="I36" s="694" t="str">
        <f t="array" ref="I36">IF(OR(I35=1,I35=7),"",IFERROR(INDEX($AK$17:$AN$116,MATCH(1,(I32&gt;=$AM$17:$AM$116)*($AN$17:$AN$116&gt;=I32)*($AK$17:$AK$116=$U$2),0),2),""))</f>
        <v>RTT</v>
      </c>
      <c r="J36" s="694" t="str">
        <f t="array" ref="J36">IF(OR(J35=1,J35=7),"",IFERROR(INDEX($AK$17:$AN$116,MATCH(1,(J32&gt;=$AM$17:$AM$116)*($AN$17:$AN$116&gt;=J32)*($AK$17:$AK$116=$U$2),0),2),""))</f>
        <v>RTT</v>
      </c>
      <c r="K36" s="694" t="str">
        <f t="array" ref="K36">IF(OR(K35=1,K35=7),"",IFERROR(INDEX($AK$17:$AN$116,MATCH(1,(K32&gt;=$AM$17:$AM$116)*($AN$17:$AN$116&gt;=K32)*($AK$17:$AK$116=$U$2),0),2),""))</f>
        <v/>
      </c>
      <c r="L36" s="694" t="str">
        <f t="array" ref="L36">IF(OR(L35=1,L35=7),"",IFERROR(INDEX($AK$17:$AN$116,MATCH(1,(L32&gt;=$AM$17:$AM$116)*($AN$17:$AN$116&gt;=L32)*($AK$17:$AK$116=$U$2),0),2),""))</f>
        <v/>
      </c>
      <c r="M36" s="694" t="str">
        <f t="array" ref="M36">IF(OR(M35=1,M35=7),"",IFERROR(INDEX($AK$17:$AN$116,MATCH(1,(M32&gt;=$AM$17:$AM$116)*($AN$17:$AN$116&gt;=M32)*($AK$17:$AK$116=$U$2),0),2),""))</f>
        <v>RTT</v>
      </c>
      <c r="N36" s="694" t="str">
        <f t="array" ref="N36">IF(OR(N35=1,N35=7),"",IFERROR(INDEX($AK$17:$AN$116,MATCH(1,(N32&gt;=$AM$17:$AM$116)*($AN$17:$AN$116&gt;=N32)*($AK$17:$AK$116=$U$2),0),2),""))</f>
        <v>RTT</v>
      </c>
      <c r="O36" s="694" t="str">
        <f t="array" ref="O36">IF(OR(O35=1,O35=7),"",IFERROR(INDEX($AK$17:$AN$116,MATCH(1,(O32&gt;=$AM$17:$AM$116)*($AN$17:$AN$116&gt;=O32)*($AK$17:$AK$116=$U$2),0),2),""))</f>
        <v/>
      </c>
      <c r="P36" s="694" t="str">
        <f t="array" ref="P36">IF(OR(P35=1,P35=7),"",IFERROR(INDEX($AK$17:$AN$116,MATCH(1,(P32&gt;=$AM$17:$AM$116)*($AN$17:$AN$116&gt;=P32)*($AK$17:$AK$116=$U$2),0),2),""))</f>
        <v/>
      </c>
      <c r="Q36" s="694" t="str">
        <f t="array" ref="Q36">IF(OR(Q35=1,Q35=7),"",IFERROR(INDEX($AK$17:$AN$116,MATCH(1,(Q32&gt;=$AM$17:$AM$116)*($AN$17:$AN$116&gt;=Q32)*($AK$17:$AK$116=$U$2),0),2),""))</f>
        <v/>
      </c>
      <c r="R36" s="694" t="str">
        <f t="array" ref="R36">IF(OR(R35=1,R35=7),"",IFERROR(INDEX($AK$17:$AN$116,MATCH(1,(R32&gt;=$AM$17:$AM$116)*($AN$17:$AN$116&gt;=R32)*($AK$17:$AK$116=$U$2),0),2),""))</f>
        <v/>
      </c>
      <c r="S36" s="694" t="str">
        <f t="array" ref="S36">IF(OR(S35=1,S35=7),"",IFERROR(INDEX($AK$17:$AN$116,MATCH(1,(S32&gt;=$AM$17:$AM$116)*($AN$17:$AN$116&gt;=S32)*($AK$17:$AK$116=$U$2),0),2),""))</f>
        <v/>
      </c>
      <c r="T36" s="694" t="str">
        <f t="array" ref="T36">IF(OR(T35=1,T35=7),"",IFERROR(INDEX($AK$17:$AN$116,MATCH(1,(T32&gt;=$AM$17:$AM$116)*($AN$17:$AN$116&gt;=T32)*($AK$17:$AK$116=$U$2),0),2),""))</f>
        <v/>
      </c>
      <c r="U36" s="694" t="str">
        <f t="array" ref="U36">IF(OR(U35=1,U35=7),"",IFERROR(INDEX($AK$17:$AN$116,MATCH(1,(U32&gt;=$AM$17:$AM$116)*($AN$17:$AN$116&gt;=U32)*($AK$17:$AK$116=$U$2),0),2),""))</f>
        <v/>
      </c>
      <c r="V36" s="694" t="str">
        <f t="array" ref="V36">IF(OR(V35=1,V35=7),"",IFERROR(INDEX($AK$17:$AN$116,MATCH(1,(V32&gt;=$AM$17:$AM$116)*($AN$17:$AN$116&gt;=V32)*($AK$17:$AK$116=$U$2),0),2),""))</f>
        <v/>
      </c>
      <c r="W36" s="694" t="str">
        <f t="array" ref="W36">IF(OR(W35=1,W35=7),"",IFERROR(INDEX($AK$17:$AN$116,MATCH(1,(W32&gt;=$AM$17:$AM$116)*($AN$17:$AN$116&gt;=W32)*($AK$17:$AK$116=$U$2),0),2),""))</f>
        <v/>
      </c>
      <c r="X36" s="694" t="str">
        <f t="array" ref="X36">IF(OR(X35=1,X35=7),"",IFERROR(INDEX($AK$17:$AN$116,MATCH(1,(X32&gt;=$AM$17:$AM$116)*($AN$17:$AN$116&gt;=X32)*($AK$17:$AK$116=$U$2),0),2),""))</f>
        <v/>
      </c>
      <c r="Y36" s="694" t="str">
        <f t="array" ref="Y36">IF(OR(Y35=1,Y35=7),"",IFERROR(INDEX($AK$17:$AN$116,MATCH(1,(Y32&gt;=$AM$17:$AM$116)*($AN$17:$AN$116&gt;=Y32)*($AK$17:$AK$116=$U$2),0),2),""))</f>
        <v/>
      </c>
      <c r="Z36" s="694" t="str">
        <f t="array" ref="Z36">IF(OR(Z35=1,Z35=7),"",IFERROR(INDEX($AK$17:$AN$116,MATCH(1,(Z32&gt;=$AM$17:$AM$116)*($AN$17:$AN$116&gt;=Z32)*($AK$17:$AK$116=$U$2),0),2),""))</f>
        <v/>
      </c>
      <c r="AA36" s="694" t="str">
        <f t="array" ref="AA36">IF(OR(AA35=1,AA35=7),"",IFERROR(INDEX($AK$17:$AN$116,MATCH(1,(AA32&gt;=$AM$17:$AM$116)*($AN$17:$AN$116&gt;=AA32)*($AK$17:$AK$116=$U$2),0),2),""))</f>
        <v/>
      </c>
      <c r="AB36" s="694" t="str">
        <f t="array" ref="AB36">IF(OR(AB35=1,AB35=7),"",IFERROR(INDEX($AK$17:$AN$116,MATCH(1,(AB32&gt;=$AM$17:$AM$116)*($AN$17:$AN$116&gt;=AB32)*($AK$17:$AK$116=$U$2),0),2),""))</f>
        <v/>
      </c>
      <c r="AC36" s="694" t="str">
        <f t="array" ref="AC36">IF(OR(AC35=1,AC35=7),"",IFERROR(INDEX($AK$17:$AN$116,MATCH(1,(AC32&gt;=$AM$17:$AM$116)*($AN$17:$AN$116&gt;=AC32)*($AK$17:$AK$116=$U$2),0),2),""))</f>
        <v/>
      </c>
      <c r="AD36" s="694" t="str">
        <f t="array" ref="AD36">IF(OR(AD35=1,AD35=7),"",IFERROR(INDEX($AK$17:$AN$116,MATCH(1,(AD32&gt;=$AM$17:$AM$116)*($AN$17:$AN$116&gt;=AD32)*($AK$17:$AK$116=$U$2),0),2),""))</f>
        <v/>
      </c>
      <c r="AE36" s="694" t="str">
        <f t="array" ref="AE36">IF(OR(AE35=1,AE35=7),"",IFERROR(INDEX($AK$17:$AN$116,MATCH(1,(AE32&gt;=$AM$17:$AM$116)*($AN$17:$AN$116&gt;=AE32)*($AK$17:$AK$116=$U$2),0),2),""))</f>
        <v/>
      </c>
      <c r="AF36" s="694" t="str">
        <f t="array" ref="AF36">IF(OR(AF35=1,AF35=7),"",IFERROR(INDEX($AK$17:$AN$116,MATCH(1,(AF32&gt;=$AM$17:$AM$116)*($AN$17:$AN$116&gt;=AF32)*($AK$17:$AK$116=$U$2),0),2),""))</f>
        <v/>
      </c>
      <c r="AG36" s="695" t="str">
        <f t="array" ref="AG36">IF(OR(AG35=1,AG35=7),"",IFERROR(INDEX($AK$17:$AN$116,MATCH(1,(AG32&gt;=$AM$17:$AM$116)*($AN$17:$AN$116&gt;=AG32)*($AK$17:$AK$116=$U$2),0),2),""))</f>
        <v/>
      </c>
      <c r="AH36" s="648">
        <f>COUNTIF(C36:AG36,AI36)</f>
        <v>0</v>
      </c>
      <c r="AI36" s="639" t="s">
        <v>362</v>
      </c>
      <c r="AJ36" s="13">
        <v>20</v>
      </c>
      <c r="AL36" s="23"/>
      <c r="AM36" s="31"/>
      <c r="AN36" s="31"/>
      <c r="AO36" s="635">
        <f>Absences2681012149[[#This Row],[debut]]</f>
        <v>0</v>
      </c>
      <c r="AP36" s="13"/>
      <c r="AQ36" s="13"/>
      <c r="AR36" s="13"/>
      <c r="AS36" s="13"/>
      <c r="AT36" s="13"/>
      <c r="AU36" s="1506"/>
      <c r="AV36" s="1506"/>
      <c r="AW36" s="1506"/>
      <c r="AX36" s="1506"/>
      <c r="AY36" s="1506"/>
      <c r="AZ36" s="1506"/>
      <c r="BA36" s="1506"/>
      <c r="BB36" s="1506"/>
      <c r="BC36" s="1506"/>
      <c r="BD36" s="1506"/>
      <c r="BE36" s="1506"/>
      <c r="BF36" s="1506"/>
      <c r="BH36" s="290"/>
      <c r="BI36" s="354" t="s">
        <v>523</v>
      </c>
      <c r="BJ36" s="315" t="s">
        <v>524</v>
      </c>
      <c r="BK36" s="294"/>
      <c r="BL36" s="294"/>
      <c r="BM36" s="294"/>
      <c r="BN36" s="294"/>
      <c r="BO36" s="316"/>
      <c r="BP36" s="346" t="s">
        <v>675</v>
      </c>
      <c r="BQ36" s="340">
        <v>18</v>
      </c>
      <c r="BR36" s="335">
        <v>0</v>
      </c>
      <c r="BS36" s="336">
        <v>0</v>
      </c>
      <c r="BT36" s="337">
        <v>0</v>
      </c>
      <c r="BU36" s="338">
        <f t="shared" si="18"/>
        <v>0</v>
      </c>
      <c r="BV36" s="294"/>
      <c r="BW36" s="313"/>
    </row>
    <row r="37" spans="1:83" ht="16.5" customHeight="1" thickBot="1" x14ac:dyDescent="0.3">
      <c r="A37" s="678"/>
      <c r="B37" s="40">
        <f>COUNTA(C37:AG37)</f>
        <v>0</v>
      </c>
      <c r="C37" s="41"/>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677"/>
      <c r="AI37" s="678"/>
      <c r="AJ37" s="13">
        <v>21</v>
      </c>
      <c r="AL37" s="23"/>
      <c r="AM37" s="31"/>
      <c r="AN37" s="31"/>
      <c r="AO37" s="635">
        <f>Absences2681012149[[#This Row],[debut]]</f>
        <v>0</v>
      </c>
      <c r="AP37" s="13"/>
      <c r="AQ37" s="13"/>
      <c r="AR37" s="13"/>
      <c r="AS37" s="13"/>
      <c r="AT37" s="13"/>
      <c r="AU37" s="94" t="s">
        <v>92</v>
      </c>
      <c r="AV37" s="50">
        <v>0.33333333333333331</v>
      </c>
      <c r="AW37" s="50">
        <v>0.5</v>
      </c>
      <c r="AX37" s="51">
        <v>0</v>
      </c>
      <c r="AY37" s="52">
        <f>IF(AW37-AV37=0,0,(AW37-AV37)-(AX37*TIMEVALUE("00:30")))</f>
        <v>0.16666666666666669</v>
      </c>
      <c r="AZ37" s="53" t="s">
        <v>71</v>
      </c>
      <c r="BA37" s="54"/>
      <c r="BB37" s="55"/>
      <c r="BC37" s="56"/>
      <c r="BD37" s="56"/>
      <c r="BE37" s="56"/>
      <c r="BF37" s="56"/>
      <c r="BH37" s="290"/>
      <c r="BI37" s="354" t="s">
        <v>525</v>
      </c>
      <c r="BJ37" s="315" t="s">
        <v>526</v>
      </c>
      <c r="BK37" s="294"/>
      <c r="BL37" s="294"/>
      <c r="BM37" s="294"/>
      <c r="BN37" s="294"/>
      <c r="BO37" s="316"/>
      <c r="BP37" s="333"/>
      <c r="BQ37" s="340">
        <v>19</v>
      </c>
      <c r="BR37" s="335">
        <v>0</v>
      </c>
      <c r="BS37" s="336">
        <v>0</v>
      </c>
      <c r="BT37" s="337">
        <v>0</v>
      </c>
      <c r="BU37" s="338">
        <f t="shared" si="18"/>
        <v>0</v>
      </c>
      <c r="BV37" s="294"/>
      <c r="BW37" s="313"/>
    </row>
    <row r="38" spans="1:83" ht="14.25" customHeight="1" x14ac:dyDescent="0.25">
      <c r="A38" s="651"/>
      <c r="B38" s="20">
        <f>DATE($C$2,MONTH(1&amp;"/"&amp;C39),1)</f>
        <v>43983</v>
      </c>
      <c r="C38" s="14">
        <f>B38</f>
        <v>43983</v>
      </c>
      <c r="D38" s="14">
        <f>IFERROR(IF(C38+1&gt;$B$39,"",C38+1),"")</f>
        <v>43984</v>
      </c>
      <c r="E38" s="14">
        <f t="shared" ref="E38:AG38" si="23">IFERROR(IF(D38+1&gt;$B$39,"",D38+1),"")</f>
        <v>43985</v>
      </c>
      <c r="F38" s="14">
        <f t="shared" si="23"/>
        <v>43986</v>
      </c>
      <c r="G38" s="14">
        <f t="shared" si="23"/>
        <v>43987</v>
      </c>
      <c r="H38" s="14">
        <f t="shared" si="23"/>
        <v>43988</v>
      </c>
      <c r="I38" s="14">
        <f t="shared" si="23"/>
        <v>43989</v>
      </c>
      <c r="J38" s="14">
        <f t="shared" si="23"/>
        <v>43990</v>
      </c>
      <c r="K38" s="14">
        <f t="shared" si="23"/>
        <v>43991</v>
      </c>
      <c r="L38" s="14">
        <f t="shared" si="23"/>
        <v>43992</v>
      </c>
      <c r="M38" s="14">
        <f t="shared" si="23"/>
        <v>43993</v>
      </c>
      <c r="N38" s="14">
        <f t="shared" si="23"/>
        <v>43994</v>
      </c>
      <c r="O38" s="14">
        <f t="shared" si="23"/>
        <v>43995</v>
      </c>
      <c r="P38" s="14">
        <f t="shared" si="23"/>
        <v>43996</v>
      </c>
      <c r="Q38" s="14">
        <f t="shared" si="23"/>
        <v>43997</v>
      </c>
      <c r="R38" s="14">
        <f t="shared" si="23"/>
        <v>43998</v>
      </c>
      <c r="S38" s="14">
        <f t="shared" si="23"/>
        <v>43999</v>
      </c>
      <c r="T38" s="14">
        <f t="shared" si="23"/>
        <v>44000</v>
      </c>
      <c r="U38" s="14">
        <f t="shared" si="23"/>
        <v>44001</v>
      </c>
      <c r="V38" s="14">
        <f t="shared" si="23"/>
        <v>44002</v>
      </c>
      <c r="W38" s="14">
        <f t="shared" si="23"/>
        <v>44003</v>
      </c>
      <c r="X38" s="14">
        <f t="shared" si="23"/>
        <v>44004</v>
      </c>
      <c r="Y38" s="14">
        <f t="shared" si="23"/>
        <v>44005</v>
      </c>
      <c r="Z38" s="14">
        <f t="shared" si="23"/>
        <v>44006</v>
      </c>
      <c r="AA38" s="14">
        <f t="shared" si="23"/>
        <v>44007</v>
      </c>
      <c r="AB38" s="14">
        <f t="shared" si="23"/>
        <v>44008</v>
      </c>
      <c r="AC38" s="14">
        <f t="shared" si="23"/>
        <v>44009</v>
      </c>
      <c r="AD38" s="14">
        <f t="shared" si="23"/>
        <v>44010</v>
      </c>
      <c r="AE38" s="14">
        <f t="shared" si="23"/>
        <v>44011</v>
      </c>
      <c r="AF38" s="14">
        <f t="shared" si="23"/>
        <v>44012</v>
      </c>
      <c r="AG38" s="14" t="str">
        <f t="shared" si="23"/>
        <v/>
      </c>
      <c r="AH38" s="647">
        <f>COUNTIF(C42:AG42,AI38)</f>
        <v>0</v>
      </c>
      <c r="AI38" s="640" t="s">
        <v>8</v>
      </c>
      <c r="AJ38" s="13">
        <v>22</v>
      </c>
      <c r="AL38" s="23"/>
      <c r="AM38" s="31"/>
      <c r="AN38" s="31"/>
      <c r="AO38" s="635">
        <f>Absences2681012149[[#This Row],[debut]]</f>
        <v>0</v>
      </c>
      <c r="AP38" s="13"/>
      <c r="AQ38" s="13"/>
      <c r="AR38" s="45"/>
      <c r="AS38" s="45"/>
      <c r="AT38" s="45"/>
      <c r="AU38" s="70"/>
      <c r="AV38" s="57"/>
      <c r="AW38" s="57"/>
      <c r="AX38" s="57"/>
      <c r="AY38" s="54"/>
      <c r="AZ38" s="54"/>
      <c r="BA38" s="54"/>
      <c r="BB38" s="55"/>
      <c r="BC38" s="56"/>
      <c r="BD38" s="56"/>
      <c r="BE38" s="56"/>
      <c r="BF38" s="56"/>
      <c r="BH38" s="290"/>
      <c r="BI38" s="353" t="s">
        <v>528</v>
      </c>
      <c r="BJ38" s="315" t="s">
        <v>529</v>
      </c>
      <c r="BK38" s="294"/>
      <c r="BL38" s="294"/>
      <c r="BM38" s="294"/>
      <c r="BN38" s="294"/>
      <c r="BO38" s="316"/>
      <c r="BP38" s="333" t="s">
        <v>676</v>
      </c>
      <c r="BQ38" s="340">
        <v>20</v>
      </c>
      <c r="BR38" s="335">
        <v>0.29166666666666669</v>
      </c>
      <c r="BS38" s="336">
        <v>0.5625</v>
      </c>
      <c r="BT38" s="337">
        <v>1</v>
      </c>
      <c r="BU38" s="338">
        <f t="shared" si="18"/>
        <v>0.24999999999999997</v>
      </c>
      <c r="BV38" s="294"/>
      <c r="BW38" s="313"/>
    </row>
    <row r="39" spans="1:83" ht="21.75" thickBot="1" x14ac:dyDescent="0.3">
      <c r="A39" s="652"/>
      <c r="B39" s="21">
        <f>EOMONTH(B38,0)</f>
        <v>44012</v>
      </c>
      <c r="C39" s="1476" t="s">
        <v>47</v>
      </c>
      <c r="D39" s="1477"/>
      <c r="E39" s="1477"/>
      <c r="F39" s="1477"/>
      <c r="G39" s="1477"/>
      <c r="H39" s="1477"/>
      <c r="I39" s="1477"/>
      <c r="J39" s="1477"/>
      <c r="K39" s="1477"/>
      <c r="L39" s="1477"/>
      <c r="M39" s="1477"/>
      <c r="N39" s="1477"/>
      <c r="O39" s="1477"/>
      <c r="P39" s="1477"/>
      <c r="Q39" s="1477"/>
      <c r="R39" s="1477"/>
      <c r="S39" s="1477"/>
      <c r="T39" s="1477"/>
      <c r="U39" s="1477"/>
      <c r="V39" s="1477"/>
      <c r="W39" s="1477"/>
      <c r="X39" s="1477"/>
      <c r="Y39" s="1477"/>
      <c r="Z39" s="1477"/>
      <c r="AA39" s="1477"/>
      <c r="AB39" s="1477"/>
      <c r="AC39" s="1477"/>
      <c r="AD39" s="1477"/>
      <c r="AE39" s="1477"/>
      <c r="AF39" s="1477"/>
      <c r="AG39" s="1478"/>
      <c r="AH39" s="648">
        <f>COUNTIF(C42:AG42,AI39)</f>
        <v>0</v>
      </c>
      <c r="AI39" s="629" t="s">
        <v>360</v>
      </c>
      <c r="AJ39" s="13">
        <v>23</v>
      </c>
      <c r="AL39" s="23"/>
      <c r="AM39" s="31"/>
      <c r="AN39" s="31"/>
      <c r="AO39" s="635">
        <f>Absences2681012149[[#This Row],[debut]]</f>
        <v>0</v>
      </c>
      <c r="AP39" s="13"/>
      <c r="AQ39" s="13"/>
      <c r="AR39" s="13"/>
      <c r="AS39" s="13"/>
      <c r="AT39" s="13"/>
      <c r="AU39" s="94" t="s">
        <v>93</v>
      </c>
      <c r="AV39" s="50">
        <v>0.29166666666666669</v>
      </c>
      <c r="AW39" s="50">
        <v>0.625</v>
      </c>
      <c r="AX39" s="51">
        <v>1</v>
      </c>
      <c r="AY39" s="52">
        <f>IF(AW39-AV39=0,0,(AW39-AV39)-(AX39*TIMEVALUE("00:30")))</f>
        <v>0.3125</v>
      </c>
      <c r="AZ39" s="53" t="s">
        <v>129</v>
      </c>
      <c r="BA39" s="54"/>
      <c r="BB39" s="55"/>
      <c r="BC39" s="56"/>
      <c r="BD39" s="56"/>
      <c r="BE39" s="56"/>
      <c r="BF39" s="56"/>
      <c r="BH39" s="290"/>
      <c r="BI39" s="354" t="s">
        <v>530</v>
      </c>
      <c r="BJ39" s="315" t="s">
        <v>531</v>
      </c>
      <c r="BK39" s="294"/>
      <c r="BL39" s="294"/>
      <c r="BM39" s="294"/>
      <c r="BN39" s="294"/>
      <c r="BO39" s="316"/>
      <c r="BP39" s="347"/>
      <c r="BQ39" s="340">
        <v>21</v>
      </c>
      <c r="BR39" s="335">
        <v>0</v>
      </c>
      <c r="BS39" s="336">
        <v>0</v>
      </c>
      <c r="BT39" s="337">
        <v>0</v>
      </c>
      <c r="BU39" s="338">
        <f t="shared" si="18"/>
        <v>0</v>
      </c>
      <c r="BV39" s="294"/>
      <c r="BW39" s="313"/>
    </row>
    <row r="40" spans="1:83" ht="21" x14ac:dyDescent="0.25">
      <c r="A40" s="654" t="s">
        <v>662</v>
      </c>
      <c r="B40" s="657">
        <f>COUNTIF(C42:AG42,A40)</f>
        <v>0</v>
      </c>
      <c r="C40" s="6">
        <f t="shared" ref="C40:AG40" si="24">IFERROR(DAY(C38),"")</f>
        <v>1</v>
      </c>
      <c r="D40" s="3">
        <f t="shared" si="24"/>
        <v>2</v>
      </c>
      <c r="E40" s="3">
        <f t="shared" si="24"/>
        <v>3</v>
      </c>
      <c r="F40" s="3">
        <f t="shared" si="24"/>
        <v>4</v>
      </c>
      <c r="G40" s="3">
        <f t="shared" si="24"/>
        <v>5</v>
      </c>
      <c r="H40" s="3">
        <f t="shared" si="24"/>
        <v>6</v>
      </c>
      <c r="I40" s="3">
        <f t="shared" si="24"/>
        <v>7</v>
      </c>
      <c r="J40" s="3">
        <f t="shared" si="24"/>
        <v>8</v>
      </c>
      <c r="K40" s="3">
        <f t="shared" si="24"/>
        <v>9</v>
      </c>
      <c r="L40" s="3">
        <f t="shared" si="24"/>
        <v>10</v>
      </c>
      <c r="M40" s="3">
        <f t="shared" si="24"/>
        <v>11</v>
      </c>
      <c r="N40" s="3">
        <f t="shared" si="24"/>
        <v>12</v>
      </c>
      <c r="O40" s="3">
        <f t="shared" si="24"/>
        <v>13</v>
      </c>
      <c r="P40" s="3">
        <f t="shared" si="24"/>
        <v>14</v>
      </c>
      <c r="Q40" s="3">
        <f t="shared" si="24"/>
        <v>15</v>
      </c>
      <c r="R40" s="3">
        <f t="shared" si="24"/>
        <v>16</v>
      </c>
      <c r="S40" s="3">
        <f t="shared" si="24"/>
        <v>17</v>
      </c>
      <c r="T40" s="3">
        <f t="shared" si="24"/>
        <v>18</v>
      </c>
      <c r="U40" s="3">
        <f t="shared" si="24"/>
        <v>19</v>
      </c>
      <c r="V40" s="3">
        <f t="shared" si="24"/>
        <v>20</v>
      </c>
      <c r="W40" s="3">
        <f t="shared" si="24"/>
        <v>21</v>
      </c>
      <c r="X40" s="3">
        <f t="shared" si="24"/>
        <v>22</v>
      </c>
      <c r="Y40" s="3">
        <f t="shared" si="24"/>
        <v>23</v>
      </c>
      <c r="Z40" s="3">
        <f t="shared" si="24"/>
        <v>24</v>
      </c>
      <c r="AA40" s="3">
        <f t="shared" si="24"/>
        <v>25</v>
      </c>
      <c r="AB40" s="3">
        <f t="shared" si="24"/>
        <v>26</v>
      </c>
      <c r="AC40" s="3">
        <f t="shared" si="24"/>
        <v>27</v>
      </c>
      <c r="AD40" s="3">
        <f t="shared" si="24"/>
        <v>28</v>
      </c>
      <c r="AE40" s="3">
        <f t="shared" si="24"/>
        <v>29</v>
      </c>
      <c r="AF40" s="3">
        <f t="shared" si="24"/>
        <v>30</v>
      </c>
      <c r="AG40" s="7" t="str">
        <f t="shared" si="24"/>
        <v/>
      </c>
      <c r="AH40" s="648">
        <f>COUNTIF(C42:AG42,AI40)</f>
        <v>0</v>
      </c>
      <c r="AI40" s="10" t="s">
        <v>6</v>
      </c>
      <c r="AJ40" s="13">
        <v>24</v>
      </c>
      <c r="AL40" s="23"/>
      <c r="AM40" s="31"/>
      <c r="AN40" s="31"/>
      <c r="AO40" s="635">
        <f>Absences2681012149[[#This Row],[debut]]</f>
        <v>0</v>
      </c>
      <c r="AP40" s="13"/>
      <c r="AQ40" s="13"/>
      <c r="AR40" s="13"/>
      <c r="AS40" s="13"/>
      <c r="AT40" s="13"/>
      <c r="AU40" s="70"/>
      <c r="AV40" s="57"/>
      <c r="AW40" s="57"/>
      <c r="AX40" s="57"/>
      <c r="AY40" s="54"/>
      <c r="AZ40" s="54"/>
      <c r="BA40" s="54"/>
      <c r="BB40" s="55"/>
      <c r="BC40" s="56"/>
      <c r="BD40" s="56"/>
      <c r="BE40" s="56"/>
      <c r="BF40" s="56"/>
      <c r="BH40" s="290"/>
      <c r="BI40" s="353" t="s">
        <v>532</v>
      </c>
      <c r="BJ40" s="315" t="s">
        <v>533</v>
      </c>
      <c r="BK40" s="294"/>
      <c r="BL40" s="294"/>
      <c r="BM40" s="294"/>
      <c r="BN40" s="294"/>
      <c r="BO40" s="316"/>
      <c r="BP40" s="333" t="s">
        <v>677</v>
      </c>
      <c r="BQ40" s="340">
        <v>22</v>
      </c>
      <c r="BR40" s="335">
        <v>0.60416666666666663</v>
      </c>
      <c r="BS40" s="336">
        <v>0.77083333333333337</v>
      </c>
      <c r="BT40" s="337">
        <v>0</v>
      </c>
      <c r="BU40" s="338">
        <f t="shared" si="18"/>
        <v>0.16666666666666674</v>
      </c>
      <c r="BV40" s="294"/>
      <c r="BW40" s="313"/>
    </row>
    <row r="41" spans="1:83" ht="16.5" customHeight="1" thickBot="1" x14ac:dyDescent="0.3">
      <c r="A41" s="655" t="s">
        <v>800</v>
      </c>
      <c r="B41" s="658">
        <f>COUNTIF(C42:AG42,A41)</f>
        <v>0</v>
      </c>
      <c r="C41" s="5">
        <f t="shared" ref="C41:AC41" si="25">IF(C38="","",WEEKDAY(C38,1))</f>
        <v>2</v>
      </c>
      <c r="D41" s="8">
        <f t="shared" si="25"/>
        <v>3</v>
      </c>
      <c r="E41" s="8">
        <f t="shared" si="25"/>
        <v>4</v>
      </c>
      <c r="F41" s="8">
        <f t="shared" si="25"/>
        <v>5</v>
      </c>
      <c r="G41" s="8">
        <f t="shared" si="25"/>
        <v>6</v>
      </c>
      <c r="H41" s="8">
        <f t="shared" si="25"/>
        <v>7</v>
      </c>
      <c r="I41" s="8">
        <f t="shared" si="25"/>
        <v>1</v>
      </c>
      <c r="J41" s="8">
        <f t="shared" si="25"/>
        <v>2</v>
      </c>
      <c r="K41" s="8">
        <f t="shared" si="25"/>
        <v>3</v>
      </c>
      <c r="L41" s="8">
        <f t="shared" si="25"/>
        <v>4</v>
      </c>
      <c r="M41" s="8">
        <f t="shared" si="25"/>
        <v>5</v>
      </c>
      <c r="N41" s="8">
        <f t="shared" si="25"/>
        <v>6</v>
      </c>
      <c r="O41" s="8">
        <f t="shared" si="25"/>
        <v>7</v>
      </c>
      <c r="P41" s="8">
        <f t="shared" si="25"/>
        <v>1</v>
      </c>
      <c r="Q41" s="8">
        <f t="shared" si="25"/>
        <v>2</v>
      </c>
      <c r="R41" s="8">
        <f t="shared" si="25"/>
        <v>3</v>
      </c>
      <c r="S41" s="8">
        <f t="shared" si="25"/>
        <v>4</v>
      </c>
      <c r="T41" s="8">
        <f t="shared" si="25"/>
        <v>5</v>
      </c>
      <c r="U41" s="8">
        <f t="shared" si="25"/>
        <v>6</v>
      </c>
      <c r="V41" s="8">
        <f t="shared" si="25"/>
        <v>7</v>
      </c>
      <c r="W41" s="8">
        <f t="shared" si="25"/>
        <v>1</v>
      </c>
      <c r="X41" s="8">
        <f t="shared" si="25"/>
        <v>2</v>
      </c>
      <c r="Y41" s="8">
        <f t="shared" si="25"/>
        <v>3</v>
      </c>
      <c r="Z41" s="8">
        <f t="shared" si="25"/>
        <v>4</v>
      </c>
      <c r="AA41" s="8">
        <f t="shared" si="25"/>
        <v>5</v>
      </c>
      <c r="AB41" s="8">
        <f t="shared" si="25"/>
        <v>6</v>
      </c>
      <c r="AC41" s="8">
        <f t="shared" si="25"/>
        <v>7</v>
      </c>
      <c r="AD41" s="8">
        <f>IF(AD38="","",WEEKDAY(AD38,1))</f>
        <v>1</v>
      </c>
      <c r="AE41" s="8">
        <f>IF(AE38="","",WEEKDAY(AE38,1))</f>
        <v>2</v>
      </c>
      <c r="AF41" s="8">
        <f t="shared" ref="AF41:AG41" si="26">IF(AF38="","",WEEKDAY(AF38,1))</f>
        <v>3</v>
      </c>
      <c r="AG41" s="9" t="str">
        <f t="shared" si="26"/>
        <v/>
      </c>
      <c r="AH41" s="648">
        <f>COUNTIF(C42:AG42,AI41)</f>
        <v>0</v>
      </c>
      <c r="AI41" s="633" t="s">
        <v>799</v>
      </c>
      <c r="AJ41" s="13">
        <v>25</v>
      </c>
      <c r="AL41" s="23"/>
      <c r="AM41" s="31"/>
      <c r="AN41" s="31"/>
      <c r="AO41" s="635">
        <f>Absences2681012149[[#This Row],[debut]]</f>
        <v>0</v>
      </c>
      <c r="AP41" s="13"/>
      <c r="AQ41" s="13"/>
      <c r="AR41" s="13"/>
      <c r="AS41" s="13"/>
      <c r="AT41" s="13"/>
      <c r="AU41" s="94" t="s">
        <v>94</v>
      </c>
      <c r="AV41" s="50">
        <v>0.27083333333333331</v>
      </c>
      <c r="AW41" s="50">
        <v>0.60416666666666663</v>
      </c>
      <c r="AX41" s="51">
        <v>1</v>
      </c>
      <c r="AY41" s="52">
        <f>IF(AW41-AV41=0,0,(AW41-AV41)-(AX41*TIMEVALUE("00:30")))</f>
        <v>0.3125</v>
      </c>
      <c r="AZ41" s="53" t="s">
        <v>72</v>
      </c>
      <c r="BA41" s="54"/>
      <c r="BB41" s="55"/>
      <c r="BC41" s="56"/>
      <c r="BD41" s="56"/>
      <c r="BE41" s="56"/>
      <c r="BF41" s="56"/>
      <c r="BH41" s="290"/>
      <c r="BI41" s="353" t="s">
        <v>534</v>
      </c>
      <c r="BJ41" s="315" t="s">
        <v>535</v>
      </c>
      <c r="BK41" s="294"/>
      <c r="BL41" s="294"/>
      <c r="BM41" s="294"/>
      <c r="BN41" s="294"/>
      <c r="BO41" s="316"/>
      <c r="BP41" s="333" t="s">
        <v>678</v>
      </c>
      <c r="BQ41" s="341">
        <v>23</v>
      </c>
      <c r="BR41" s="342">
        <v>0.60416666666666663</v>
      </c>
      <c r="BS41" s="343">
        <v>0.64583333333333337</v>
      </c>
      <c r="BT41" s="344">
        <v>0</v>
      </c>
      <c r="BU41" s="345">
        <f t="shared" si="18"/>
        <v>4.1666666666666741E-2</v>
      </c>
      <c r="BV41" s="294"/>
      <c r="BW41" s="313"/>
    </row>
    <row r="42" spans="1:83" ht="15.75" customHeight="1" x14ac:dyDescent="0.25">
      <c r="A42" s="679" t="s">
        <v>7</v>
      </c>
      <c r="B42" s="658">
        <f>COUNTIF(C42:AG42,A42)</f>
        <v>0</v>
      </c>
      <c r="C42" s="693" t="str">
        <f t="array" ref="C42">IF(OR(C41=1,C41=7),"",IFERROR(INDEX($AK$17:$AN$116,MATCH(1,(C38&gt;=$AM$17:$AM$116)*($AN$17:$AN$116&gt;=C38)*($AK$17:$AK$116=$U$2),0),2),""))</f>
        <v/>
      </c>
      <c r="D42" s="694" t="str">
        <f t="array" ref="D42">IF(OR(D41=1,D41=7),"",IFERROR(INDEX($AK$17:$AN$116,MATCH(1,(D38&gt;=$AM$17:$AM$116)*($AN$17:$AN$116&gt;=D38)*($AK$17:$AK$116=$U$2),0),2),""))</f>
        <v/>
      </c>
      <c r="E42" s="694" t="str">
        <f t="array" ref="E42">IF(OR(E41=1,E41=7),"",IFERROR(INDEX($AK$17:$AN$116,MATCH(1,(E38&gt;=$AM$17:$AM$116)*($AN$17:$AN$116&gt;=E38)*($AK$17:$AK$116=$U$2),0),2),""))</f>
        <v/>
      </c>
      <c r="F42" s="694" t="str">
        <f t="array" ref="F42">IF(OR(F41=1,F41=7),"",IFERROR(INDEX($AK$17:$AN$116,MATCH(1,(F38&gt;=$AM$17:$AM$116)*($AN$17:$AN$116&gt;=F38)*($AK$17:$AK$116=$U$2),0),2),""))</f>
        <v/>
      </c>
      <c r="G42" s="694" t="str">
        <f t="array" ref="G42">IF(OR(G41=1,G41=7),"",IFERROR(INDEX($AK$17:$AN$116,MATCH(1,(G38&gt;=$AM$17:$AM$116)*($AN$17:$AN$116&gt;=G38)*($AK$17:$AK$116=$U$2),0),2),""))</f>
        <v/>
      </c>
      <c r="H42" s="694" t="str">
        <f t="array" ref="H42">IF(OR(H41=1,H41=7),"",IFERROR(INDEX($AK$17:$AN$116,MATCH(1,(H38&gt;=$AM$17:$AM$116)*($AN$17:$AN$116&gt;=H38)*($AK$17:$AK$116=$U$2),0),2),""))</f>
        <v/>
      </c>
      <c r="I42" s="694" t="str">
        <f t="array" ref="I42">IF(OR(I41=1,I41=7),"",IFERROR(INDEX($AK$17:$AN$116,MATCH(1,(I38&gt;=$AM$17:$AM$116)*($AN$17:$AN$116&gt;=I38)*($AK$17:$AK$116=$U$2),0),2),""))</f>
        <v/>
      </c>
      <c r="J42" s="694" t="str">
        <f t="array" ref="J42">IF(OR(J41=1,J41=7),"",IFERROR(INDEX($AK$17:$AN$116,MATCH(1,(J38&gt;=$AM$17:$AM$116)*($AN$17:$AN$116&gt;=J38)*($AK$17:$AK$116=$U$2),0),2),""))</f>
        <v/>
      </c>
      <c r="K42" s="694" t="str">
        <f t="array" ref="K42">IF(OR(K41=1,K41=7),"",IFERROR(INDEX($AK$17:$AN$116,MATCH(1,(K38&gt;=$AM$17:$AM$116)*($AN$17:$AN$116&gt;=K38)*($AK$17:$AK$116=$U$2),0),2),""))</f>
        <v/>
      </c>
      <c r="L42" s="694" t="str">
        <f t="array" ref="L42">IF(OR(L41=1,L41=7),"",IFERROR(INDEX($AK$17:$AN$116,MATCH(1,(L38&gt;=$AM$17:$AM$116)*($AN$17:$AN$116&gt;=L38)*($AK$17:$AK$116=$U$2),0),2),""))</f>
        <v/>
      </c>
      <c r="M42" s="694" t="str">
        <f t="array" ref="M42">IF(OR(M41=1,M41=7),"",IFERROR(INDEX($AK$17:$AN$116,MATCH(1,(M38&gt;=$AM$17:$AM$116)*($AN$17:$AN$116&gt;=M38)*($AK$17:$AK$116=$U$2),0),2),""))</f>
        <v/>
      </c>
      <c r="N42" s="694" t="str">
        <f t="array" ref="N42">IF(OR(N41=1,N41=7),"",IFERROR(INDEX($AK$17:$AN$116,MATCH(1,(N38&gt;=$AM$17:$AM$116)*($AN$17:$AN$116&gt;=N38)*($AK$17:$AK$116=$U$2),0),2),""))</f>
        <v/>
      </c>
      <c r="O42" s="694" t="str">
        <f t="array" ref="O42">IF(OR(O41=1,O41=7),"",IFERROR(INDEX($AK$17:$AN$116,MATCH(1,(O38&gt;=$AM$17:$AM$116)*($AN$17:$AN$116&gt;=O38)*($AK$17:$AK$116=$U$2),0),2),""))</f>
        <v/>
      </c>
      <c r="P42" s="694" t="str">
        <f t="array" ref="P42">IF(OR(P41=1,P41=7),"",IFERROR(INDEX($AK$17:$AN$116,MATCH(1,(P38&gt;=$AM$17:$AM$116)*($AN$17:$AN$116&gt;=P38)*($AK$17:$AK$116=$U$2),0),2),""))</f>
        <v/>
      </c>
      <c r="Q42" s="694" t="str">
        <f t="array" ref="Q42">IF(OR(Q41=1,Q41=7),"",IFERROR(INDEX($AK$17:$AN$116,MATCH(1,(Q38&gt;=$AM$17:$AM$116)*($AN$17:$AN$116&gt;=Q38)*($AK$17:$AK$116=$U$2),0),2),""))</f>
        <v/>
      </c>
      <c r="R42" s="694" t="str">
        <f t="array" ref="R42">IF(OR(R41=1,R41=7),"",IFERROR(INDEX($AK$17:$AN$116,MATCH(1,(R38&gt;=$AM$17:$AM$116)*($AN$17:$AN$116&gt;=R38)*($AK$17:$AK$116=$U$2),0),2),""))</f>
        <v/>
      </c>
      <c r="S42" s="694" t="str">
        <f t="array" ref="S42">IF(OR(S41=1,S41=7),"",IFERROR(INDEX($AK$17:$AN$116,MATCH(1,(S38&gt;=$AM$17:$AM$116)*($AN$17:$AN$116&gt;=S38)*($AK$17:$AK$116=$U$2),0),2),""))</f>
        <v/>
      </c>
      <c r="T42" s="694" t="str">
        <f t="array" ref="T42">IF(OR(T41=1,T41=7),"",IFERROR(INDEX($AK$17:$AN$116,MATCH(1,(T38&gt;=$AM$17:$AM$116)*($AN$17:$AN$116&gt;=T38)*($AK$17:$AK$116=$U$2),0),2),""))</f>
        <v/>
      </c>
      <c r="U42" s="694" t="str">
        <f t="array" ref="U42">IF(OR(U41=1,U41=7),"",IFERROR(INDEX($AK$17:$AN$116,MATCH(1,(U38&gt;=$AM$17:$AM$116)*($AN$17:$AN$116&gt;=U38)*($AK$17:$AK$116=$U$2),0),2),""))</f>
        <v/>
      </c>
      <c r="V42" s="694" t="str">
        <f t="array" ref="V42">IF(OR(V41=1,V41=7),"",IFERROR(INDEX($AK$17:$AN$116,MATCH(1,(V38&gt;=$AM$17:$AM$116)*($AN$17:$AN$116&gt;=V38)*($AK$17:$AK$116=$U$2),0),2),""))</f>
        <v/>
      </c>
      <c r="W42" s="694" t="str">
        <f t="array" ref="W42">IF(OR(W41=1,W41=7),"",IFERROR(INDEX($AK$17:$AN$116,MATCH(1,(W38&gt;=$AM$17:$AM$116)*($AN$17:$AN$116&gt;=W38)*($AK$17:$AK$116=$U$2),0),2),""))</f>
        <v/>
      </c>
      <c r="X42" s="694" t="str">
        <f t="array" ref="X42">IF(OR(X41=1,X41=7),"",IFERROR(INDEX($AK$17:$AN$116,MATCH(1,(X38&gt;=$AM$17:$AM$116)*($AN$17:$AN$116&gt;=X38)*($AK$17:$AK$116=$U$2),0),2),""))</f>
        <v/>
      </c>
      <c r="Y42" s="694" t="str">
        <f t="array" ref="Y42">IF(OR(Y41=1,Y41=7),"",IFERROR(INDEX($AK$17:$AN$116,MATCH(1,(Y38&gt;=$AM$17:$AM$116)*($AN$17:$AN$116&gt;=Y38)*($AK$17:$AK$116=$U$2),0),2),""))</f>
        <v/>
      </c>
      <c r="Z42" s="694" t="str">
        <f t="array" ref="Z42">IF(OR(Z41=1,Z41=7),"",IFERROR(INDEX($AK$17:$AN$116,MATCH(1,(Z38&gt;=$AM$17:$AM$116)*($AN$17:$AN$116&gt;=Z38)*($AK$17:$AK$116=$U$2),0),2),""))</f>
        <v/>
      </c>
      <c r="AA42" s="694" t="str">
        <f t="array" ref="AA42">IF(OR(AA41=1,AA41=7),"",IFERROR(INDEX($AK$17:$AN$116,MATCH(1,(AA38&gt;=$AM$17:$AM$116)*($AN$17:$AN$116&gt;=AA38)*($AK$17:$AK$116=$U$2),0),2),""))</f>
        <v/>
      </c>
      <c r="AB42" s="694" t="str">
        <f t="array" ref="AB42">IF(OR(AB41=1,AB41=7),"",IFERROR(INDEX($AK$17:$AN$116,MATCH(1,(AB38&gt;=$AM$17:$AM$116)*($AN$17:$AN$116&gt;=AB38)*($AK$17:$AK$116=$U$2),0),2),""))</f>
        <v/>
      </c>
      <c r="AC42" s="694" t="str">
        <f t="array" ref="AC42">IF(OR(AC41=1,AC41=7),"",IFERROR(INDEX($AK$17:$AN$116,MATCH(1,(AC38&gt;=$AM$17:$AM$116)*($AN$17:$AN$116&gt;=AC38)*($AK$17:$AK$116=$U$2),0),2),""))</f>
        <v/>
      </c>
      <c r="AD42" s="694" t="str">
        <f t="array" ref="AD42">IF(OR(AD41=1,AD41=7),"",IFERROR(INDEX($AK$17:$AN$116,MATCH(1,(AD38&gt;=$AM$17:$AM$116)*($AN$17:$AN$116&gt;=AD38)*($AK$17:$AK$116=$U$2),0),2),""))</f>
        <v/>
      </c>
      <c r="AE42" s="694" t="str">
        <f t="array" ref="AE42">IF(OR(AE41=1,AE41=7),"",IFERROR(INDEX($AK$17:$AN$116,MATCH(1,(AE38&gt;=$AM$17:$AM$116)*($AN$17:$AN$116&gt;=AE38)*($AK$17:$AK$116=$U$2),0),2),""))</f>
        <v/>
      </c>
      <c r="AF42" s="694" t="str">
        <f t="array" ref="AF42">IF(OR(AF41=1,AF41=7),"",IFERROR(INDEX($AK$17:$AN$116,MATCH(1,(AF38&gt;=$AM$17:$AM$116)*($AN$17:$AN$116&gt;=AF38)*($AK$17:$AK$116=$U$2),0),2),""))</f>
        <v/>
      </c>
      <c r="AG42" s="695" t="str">
        <f t="array" ref="AG42">IF(OR(AG41=1,AG41=7),"",IFERROR(INDEX($AK$17:$AN$116,MATCH(1,(AG38&gt;=$AM$17:$AM$116)*($AN$17:$AN$116&gt;=AG38)*($AK$17:$AK$116=$U$2),0),2),""))</f>
        <v/>
      </c>
      <c r="AH42" s="648">
        <f>COUNTIF(C42:AG42,AI42)</f>
        <v>0</v>
      </c>
      <c r="AI42" s="639" t="s">
        <v>362</v>
      </c>
      <c r="AJ42" s="13">
        <v>26</v>
      </c>
      <c r="AL42" s="23"/>
      <c r="AM42" s="31"/>
      <c r="AN42" s="31"/>
      <c r="AO42" s="635">
        <f>Absences2681012149[[#This Row],[debut]]</f>
        <v>0</v>
      </c>
      <c r="AP42" s="13"/>
      <c r="AQ42" s="13"/>
      <c r="AR42" s="13"/>
      <c r="AS42" s="13"/>
      <c r="AT42" s="13"/>
      <c r="AU42" s="70"/>
      <c r="AV42" s="57"/>
      <c r="AW42" s="57"/>
      <c r="AX42" s="57"/>
      <c r="AY42" s="54"/>
      <c r="AZ42" s="54"/>
      <c r="BA42" s="54"/>
      <c r="BB42" s="55"/>
      <c r="BC42" s="56"/>
      <c r="BD42" s="56"/>
      <c r="BE42" s="56"/>
      <c r="BF42" s="56"/>
      <c r="BH42" s="290"/>
      <c r="BI42" s="354" t="s">
        <v>536</v>
      </c>
      <c r="BJ42" s="315" t="s">
        <v>537</v>
      </c>
      <c r="BK42" s="294"/>
      <c r="BL42" s="294"/>
      <c r="BM42" s="294"/>
      <c r="BN42" s="294"/>
      <c r="BO42" s="316"/>
      <c r="BP42" s="346" t="s">
        <v>679</v>
      </c>
      <c r="BQ42" s="340">
        <v>24</v>
      </c>
      <c r="BR42" s="335">
        <v>0</v>
      </c>
      <c r="BS42" s="336">
        <v>0</v>
      </c>
      <c r="BT42" s="337">
        <v>0</v>
      </c>
      <c r="BU42" s="338">
        <f t="shared" si="18"/>
        <v>0</v>
      </c>
      <c r="BV42" s="294"/>
      <c r="BW42" s="313"/>
    </row>
    <row r="43" spans="1:83" ht="16.5" customHeight="1" thickBot="1" x14ac:dyDescent="0.3">
      <c r="A43" s="678"/>
      <c r="B43" s="40">
        <f>COUNTA(C43:AG43)</f>
        <v>0</v>
      </c>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677"/>
      <c r="AI43" s="678"/>
      <c r="AJ43" s="13">
        <v>27</v>
      </c>
      <c r="AK43" s="1"/>
      <c r="AL43" s="22"/>
      <c r="AM43" s="33"/>
      <c r="AN43" s="33"/>
      <c r="AO43" s="635">
        <f>Absences2681012149[[#This Row],[debut]]</f>
        <v>0</v>
      </c>
      <c r="AP43" s="13"/>
      <c r="AQ43" s="13"/>
      <c r="AR43" s="13"/>
      <c r="AS43" s="13"/>
      <c r="AT43" s="13"/>
      <c r="AU43" s="94" t="s">
        <v>95</v>
      </c>
      <c r="AV43" s="50">
        <v>0.27083333333333331</v>
      </c>
      <c r="AW43" s="50">
        <v>0.60416666666666663</v>
      </c>
      <c r="AX43" s="51">
        <v>1</v>
      </c>
      <c r="AY43" s="52">
        <f>IF(AW43-AV43=0,0,(AW43-AV43)-(AX43*TIMEVALUE("00:30")))</f>
        <v>0.3125</v>
      </c>
      <c r="AZ43" s="53" t="s">
        <v>73</v>
      </c>
      <c r="BA43" s="54"/>
      <c r="BB43" s="55"/>
      <c r="BC43" s="56"/>
      <c r="BD43" s="56"/>
      <c r="BE43" s="56"/>
      <c r="BF43" s="56"/>
      <c r="BH43" s="290"/>
      <c r="BI43" s="294"/>
      <c r="BJ43" s="294"/>
      <c r="BK43" s="294"/>
      <c r="BL43" s="294"/>
      <c r="BM43" s="294"/>
      <c r="BN43" s="294"/>
      <c r="BO43" s="294"/>
      <c r="BP43" s="294"/>
      <c r="BQ43" s="294"/>
      <c r="BR43" s="294"/>
      <c r="BS43" s="294"/>
      <c r="BT43" s="294"/>
      <c r="BU43" s="294"/>
      <c r="BV43" s="294"/>
      <c r="BW43" s="313"/>
    </row>
    <row r="44" spans="1:83" ht="14.25" customHeight="1" x14ac:dyDescent="0.25">
      <c r="A44" s="651"/>
      <c r="B44" s="20">
        <f>DATE($C$2,MONTH(1&amp;"/"&amp;C45),1)</f>
        <v>44013</v>
      </c>
      <c r="C44" s="14">
        <f>B44</f>
        <v>44013</v>
      </c>
      <c r="D44" s="14">
        <f>IFERROR(IF(C44+1&gt;$B$45,"",C44+1),"")</f>
        <v>44014</v>
      </c>
      <c r="E44" s="14">
        <f t="shared" ref="E44:AG44" si="27">IFERROR(IF(D44+1&gt;$B$45,"",D44+1),"")</f>
        <v>44015</v>
      </c>
      <c r="F44" s="14">
        <f t="shared" si="27"/>
        <v>44016</v>
      </c>
      <c r="G44" s="14">
        <f t="shared" si="27"/>
        <v>44017</v>
      </c>
      <c r="H44" s="14">
        <f t="shared" si="27"/>
        <v>44018</v>
      </c>
      <c r="I44" s="14">
        <f t="shared" si="27"/>
        <v>44019</v>
      </c>
      <c r="J44" s="14">
        <f t="shared" si="27"/>
        <v>44020</v>
      </c>
      <c r="K44" s="14">
        <f t="shared" si="27"/>
        <v>44021</v>
      </c>
      <c r="L44" s="14">
        <f t="shared" si="27"/>
        <v>44022</v>
      </c>
      <c r="M44" s="14">
        <f t="shared" si="27"/>
        <v>44023</v>
      </c>
      <c r="N44" s="14">
        <f t="shared" si="27"/>
        <v>44024</v>
      </c>
      <c r="O44" s="14">
        <f t="shared" si="27"/>
        <v>44025</v>
      </c>
      <c r="P44" s="14">
        <f t="shared" si="27"/>
        <v>44026</v>
      </c>
      <c r="Q44" s="14">
        <f t="shared" si="27"/>
        <v>44027</v>
      </c>
      <c r="R44" s="14">
        <f t="shared" si="27"/>
        <v>44028</v>
      </c>
      <c r="S44" s="14">
        <f t="shared" si="27"/>
        <v>44029</v>
      </c>
      <c r="T44" s="14">
        <f t="shared" si="27"/>
        <v>44030</v>
      </c>
      <c r="U44" s="14">
        <f t="shared" si="27"/>
        <v>44031</v>
      </c>
      <c r="V44" s="14">
        <f t="shared" si="27"/>
        <v>44032</v>
      </c>
      <c r="W44" s="14">
        <f t="shared" si="27"/>
        <v>44033</v>
      </c>
      <c r="X44" s="14">
        <f t="shared" si="27"/>
        <v>44034</v>
      </c>
      <c r="Y44" s="14">
        <f t="shared" si="27"/>
        <v>44035</v>
      </c>
      <c r="Z44" s="14">
        <f t="shared" si="27"/>
        <v>44036</v>
      </c>
      <c r="AA44" s="14">
        <f t="shared" si="27"/>
        <v>44037</v>
      </c>
      <c r="AB44" s="14">
        <f t="shared" si="27"/>
        <v>44038</v>
      </c>
      <c r="AC44" s="14">
        <f t="shared" si="27"/>
        <v>44039</v>
      </c>
      <c r="AD44" s="14">
        <f t="shared" si="27"/>
        <v>44040</v>
      </c>
      <c r="AE44" s="14">
        <f t="shared" si="27"/>
        <v>44041</v>
      </c>
      <c r="AF44" s="14">
        <f t="shared" si="27"/>
        <v>44042</v>
      </c>
      <c r="AG44" s="14">
        <f t="shared" si="27"/>
        <v>44043</v>
      </c>
      <c r="AH44" s="647">
        <f>COUNTIF(C48:AG48,AI44)</f>
        <v>0</v>
      </c>
      <c r="AI44" s="640" t="s">
        <v>8</v>
      </c>
      <c r="AJ44" s="13">
        <v>28</v>
      </c>
      <c r="AL44" s="23"/>
      <c r="AM44" s="31"/>
      <c r="AN44" s="31"/>
      <c r="AO44" s="635">
        <f>Absences2681012149[[#This Row],[debut]]</f>
        <v>0</v>
      </c>
      <c r="AP44" s="13"/>
      <c r="AQ44" s="13"/>
      <c r="AR44" s="45"/>
      <c r="AS44" s="45"/>
      <c r="AT44" s="45"/>
      <c r="AU44" s="70"/>
      <c r="AV44" s="57"/>
      <c r="AW44" s="57"/>
      <c r="AX44" s="57"/>
      <c r="AY44" s="54"/>
      <c r="AZ44" s="54"/>
      <c r="BA44" s="54"/>
      <c r="BB44" s="55"/>
      <c r="BC44" s="56"/>
      <c r="BD44" s="56"/>
      <c r="BE44" s="56"/>
      <c r="BF44" s="56"/>
      <c r="BH44" s="290"/>
      <c r="BI44" s="294"/>
      <c r="BJ44" s="294"/>
      <c r="BK44" s="294"/>
      <c r="BL44" s="294"/>
      <c r="BM44" s="294"/>
      <c r="BN44" s="294"/>
      <c r="BO44" s="294"/>
      <c r="BP44" s="294"/>
      <c r="BQ44" s="294"/>
      <c r="BR44" s="294"/>
      <c r="BS44" s="294"/>
      <c r="BT44" s="294"/>
      <c r="BU44" s="294"/>
      <c r="BV44" s="294"/>
      <c r="BW44" s="313"/>
    </row>
    <row r="45" spans="1:83" ht="19.5" thickBot="1" x14ac:dyDescent="0.3">
      <c r="A45" s="652"/>
      <c r="B45" s="21">
        <f>EOMONTH(B44,0)</f>
        <v>44043</v>
      </c>
      <c r="C45" s="1476" t="s">
        <v>43</v>
      </c>
      <c r="D45" s="1477"/>
      <c r="E45" s="1477"/>
      <c r="F45" s="1477"/>
      <c r="G45" s="1477"/>
      <c r="H45" s="1477"/>
      <c r="I45" s="1477"/>
      <c r="J45" s="1477"/>
      <c r="K45" s="1477"/>
      <c r="L45" s="1477"/>
      <c r="M45" s="1477"/>
      <c r="N45" s="1477"/>
      <c r="O45" s="1477"/>
      <c r="P45" s="1477"/>
      <c r="Q45" s="1477"/>
      <c r="R45" s="1477"/>
      <c r="S45" s="1477"/>
      <c r="T45" s="1477"/>
      <c r="U45" s="1477"/>
      <c r="V45" s="1477"/>
      <c r="W45" s="1477"/>
      <c r="X45" s="1477"/>
      <c r="Y45" s="1477"/>
      <c r="Z45" s="1477"/>
      <c r="AA45" s="1477"/>
      <c r="AB45" s="1477"/>
      <c r="AC45" s="1477"/>
      <c r="AD45" s="1477"/>
      <c r="AE45" s="1477"/>
      <c r="AF45" s="1477"/>
      <c r="AG45" s="1478"/>
      <c r="AH45" s="648">
        <f>COUNTIF(C48:AG48,AI45)</f>
        <v>0</v>
      </c>
      <c r="AI45" s="629" t="s">
        <v>360</v>
      </c>
      <c r="AJ45" s="13">
        <v>29</v>
      </c>
      <c r="AL45" s="23"/>
      <c r="AM45" s="31"/>
      <c r="AN45" s="31"/>
      <c r="AO45" s="635">
        <f>Absences2681012149[[#This Row],[debut]]</f>
        <v>0</v>
      </c>
      <c r="AP45" s="13"/>
      <c r="AQ45" s="13"/>
      <c r="AR45" s="13"/>
      <c r="AS45" s="13"/>
      <c r="AT45" s="13"/>
      <c r="AU45" s="94" t="s">
        <v>96</v>
      </c>
      <c r="AV45" s="50">
        <v>0.27083333333333331</v>
      </c>
      <c r="AW45" s="50">
        <v>0.60416666666666663</v>
      </c>
      <c r="AX45" s="51">
        <v>1</v>
      </c>
      <c r="AY45" s="52">
        <f>IF(AW45-AV45=0,0,(AW45-AV45)-(AX45*TIMEVALUE("00:30")))</f>
        <v>0.3125</v>
      </c>
      <c r="AZ45" s="53" t="s">
        <v>130</v>
      </c>
      <c r="BA45" s="54"/>
      <c r="BB45" s="55"/>
      <c r="BC45" s="56"/>
      <c r="BD45" s="56"/>
      <c r="BE45" s="56"/>
      <c r="BF45" s="56"/>
      <c r="BH45" s="290"/>
      <c r="BI45" s="294"/>
      <c r="BJ45" s="294"/>
      <c r="BK45" s="294"/>
      <c r="BL45" s="294"/>
      <c r="BM45" s="294"/>
      <c r="BN45" s="294"/>
      <c r="BO45" s="294"/>
      <c r="BP45" s="294"/>
      <c r="BQ45" s="294"/>
      <c r="BR45" s="294"/>
      <c r="BS45" s="294"/>
      <c r="BT45" s="294"/>
      <c r="BU45" s="294"/>
      <c r="BV45" s="294"/>
      <c r="BW45" s="313"/>
    </row>
    <row r="46" spans="1:83" x14ac:dyDescent="0.25">
      <c r="A46" s="654" t="s">
        <v>662</v>
      </c>
      <c r="B46" s="657">
        <f>COUNTIF(C48:AG48,A46)</f>
        <v>0</v>
      </c>
      <c r="C46" s="6">
        <f t="shared" ref="C46:AG46" si="28">IFERROR(DAY(C44),"")</f>
        <v>1</v>
      </c>
      <c r="D46" s="3">
        <f t="shared" si="28"/>
        <v>2</v>
      </c>
      <c r="E46" s="3">
        <f t="shared" si="28"/>
        <v>3</v>
      </c>
      <c r="F46" s="3">
        <f t="shared" si="28"/>
        <v>4</v>
      </c>
      <c r="G46" s="3">
        <f t="shared" si="28"/>
        <v>5</v>
      </c>
      <c r="H46" s="3">
        <f t="shared" si="28"/>
        <v>6</v>
      </c>
      <c r="I46" s="3">
        <f t="shared" si="28"/>
        <v>7</v>
      </c>
      <c r="J46" s="3">
        <f t="shared" si="28"/>
        <v>8</v>
      </c>
      <c r="K46" s="3">
        <f t="shared" si="28"/>
        <v>9</v>
      </c>
      <c r="L46" s="3">
        <f t="shared" si="28"/>
        <v>10</v>
      </c>
      <c r="M46" s="3">
        <f t="shared" si="28"/>
        <v>11</v>
      </c>
      <c r="N46" s="3">
        <f t="shared" si="28"/>
        <v>12</v>
      </c>
      <c r="O46" s="3">
        <f t="shared" si="28"/>
        <v>13</v>
      </c>
      <c r="P46" s="3">
        <f t="shared" si="28"/>
        <v>14</v>
      </c>
      <c r="Q46" s="3">
        <f t="shared" si="28"/>
        <v>15</v>
      </c>
      <c r="R46" s="3">
        <f t="shared" si="28"/>
        <v>16</v>
      </c>
      <c r="S46" s="3">
        <f t="shared" si="28"/>
        <v>17</v>
      </c>
      <c r="T46" s="3">
        <f t="shared" si="28"/>
        <v>18</v>
      </c>
      <c r="U46" s="3">
        <f t="shared" si="28"/>
        <v>19</v>
      </c>
      <c r="V46" s="3">
        <f t="shared" si="28"/>
        <v>20</v>
      </c>
      <c r="W46" s="3">
        <f t="shared" si="28"/>
        <v>21</v>
      </c>
      <c r="X46" s="3">
        <f t="shared" si="28"/>
        <v>22</v>
      </c>
      <c r="Y46" s="3">
        <f t="shared" si="28"/>
        <v>23</v>
      </c>
      <c r="Z46" s="3">
        <f t="shared" si="28"/>
        <v>24</v>
      </c>
      <c r="AA46" s="3">
        <f t="shared" si="28"/>
        <v>25</v>
      </c>
      <c r="AB46" s="3">
        <f t="shared" si="28"/>
        <v>26</v>
      </c>
      <c r="AC46" s="3">
        <f t="shared" si="28"/>
        <v>27</v>
      </c>
      <c r="AD46" s="3">
        <f t="shared" si="28"/>
        <v>28</v>
      </c>
      <c r="AE46" s="3">
        <f t="shared" si="28"/>
        <v>29</v>
      </c>
      <c r="AF46" s="3">
        <f t="shared" si="28"/>
        <v>30</v>
      </c>
      <c r="AG46" s="7">
        <f t="shared" si="28"/>
        <v>31</v>
      </c>
      <c r="AH46" s="648">
        <f>COUNTIF(C48:AG48,AI46)</f>
        <v>0</v>
      </c>
      <c r="AI46" s="10" t="s">
        <v>6</v>
      </c>
      <c r="AJ46" s="13">
        <v>30</v>
      </c>
      <c r="AL46" s="23"/>
      <c r="AM46" s="31"/>
      <c r="AN46" s="31"/>
      <c r="AO46" s="635">
        <f>Absences2681012149[[#This Row],[debut]]</f>
        <v>0</v>
      </c>
      <c r="AP46" s="13"/>
      <c r="AQ46" s="13"/>
      <c r="AR46" s="13"/>
      <c r="AS46" s="13"/>
      <c r="AT46" s="13"/>
      <c r="AU46" s="70"/>
      <c r="AV46" s="57"/>
      <c r="AW46" s="57"/>
      <c r="AX46" s="57"/>
      <c r="AY46" s="54"/>
      <c r="AZ46" s="54"/>
      <c r="BA46" s="54"/>
      <c r="BB46" s="55"/>
      <c r="BC46" s="56"/>
      <c r="BD46" s="56"/>
      <c r="BE46" s="56"/>
      <c r="BF46" s="56"/>
      <c r="BH46" s="290"/>
      <c r="BI46" s="294"/>
      <c r="BJ46" s="294"/>
      <c r="BK46" s="294"/>
      <c r="BL46" s="294"/>
      <c r="BM46" s="294"/>
      <c r="BN46" s="294"/>
      <c r="BO46" s="294"/>
      <c r="BP46" s="294"/>
      <c r="BQ46" s="294"/>
      <c r="BR46" s="294"/>
      <c r="BS46" s="294"/>
      <c r="BT46" s="294"/>
      <c r="BU46" s="294"/>
      <c r="BV46" s="294"/>
      <c r="BW46" s="313"/>
    </row>
    <row r="47" spans="1:83" ht="16.5" thickBot="1" x14ac:dyDescent="0.3">
      <c r="A47" s="655" t="s">
        <v>800</v>
      </c>
      <c r="B47" s="658">
        <f>COUNTIF(C48:AG48,A47)</f>
        <v>0</v>
      </c>
      <c r="C47" s="5">
        <f t="shared" ref="C47:AC47" si="29">IF(C44="","",WEEKDAY(C44,1))</f>
        <v>4</v>
      </c>
      <c r="D47" s="8">
        <f t="shared" si="29"/>
        <v>5</v>
      </c>
      <c r="E47" s="8">
        <f t="shared" si="29"/>
        <v>6</v>
      </c>
      <c r="F47" s="8">
        <f t="shared" si="29"/>
        <v>7</v>
      </c>
      <c r="G47" s="8">
        <f t="shared" si="29"/>
        <v>1</v>
      </c>
      <c r="H47" s="8">
        <f t="shared" si="29"/>
        <v>2</v>
      </c>
      <c r="I47" s="8">
        <f t="shared" si="29"/>
        <v>3</v>
      </c>
      <c r="J47" s="8">
        <f t="shared" si="29"/>
        <v>4</v>
      </c>
      <c r="K47" s="8">
        <f t="shared" si="29"/>
        <v>5</v>
      </c>
      <c r="L47" s="8">
        <f t="shared" si="29"/>
        <v>6</v>
      </c>
      <c r="M47" s="8">
        <f t="shared" si="29"/>
        <v>7</v>
      </c>
      <c r="N47" s="8">
        <f t="shared" si="29"/>
        <v>1</v>
      </c>
      <c r="O47" s="8">
        <f t="shared" si="29"/>
        <v>2</v>
      </c>
      <c r="P47" s="8">
        <f t="shared" si="29"/>
        <v>3</v>
      </c>
      <c r="Q47" s="8">
        <f t="shared" si="29"/>
        <v>4</v>
      </c>
      <c r="R47" s="8">
        <f t="shared" si="29"/>
        <v>5</v>
      </c>
      <c r="S47" s="8">
        <f t="shared" si="29"/>
        <v>6</v>
      </c>
      <c r="T47" s="8">
        <f t="shared" si="29"/>
        <v>7</v>
      </c>
      <c r="U47" s="8">
        <f t="shared" si="29"/>
        <v>1</v>
      </c>
      <c r="V47" s="8">
        <f t="shared" si="29"/>
        <v>2</v>
      </c>
      <c r="W47" s="8">
        <f t="shared" si="29"/>
        <v>3</v>
      </c>
      <c r="X47" s="8">
        <f t="shared" si="29"/>
        <v>4</v>
      </c>
      <c r="Y47" s="8">
        <f t="shared" si="29"/>
        <v>5</v>
      </c>
      <c r="Z47" s="8">
        <f t="shared" si="29"/>
        <v>6</v>
      </c>
      <c r="AA47" s="8">
        <f t="shared" si="29"/>
        <v>7</v>
      </c>
      <c r="AB47" s="8">
        <f t="shared" si="29"/>
        <v>1</v>
      </c>
      <c r="AC47" s="8">
        <f t="shared" si="29"/>
        <v>2</v>
      </c>
      <c r="AD47" s="8">
        <f>IF(AD44="","",WEEKDAY(AD44,1))</f>
        <v>3</v>
      </c>
      <c r="AE47" s="8">
        <f>IF(AE44="","",WEEKDAY(AE44,1))</f>
        <v>4</v>
      </c>
      <c r="AF47" s="8">
        <f t="shared" ref="AF47:AG47" si="30">IF(AF44="","",WEEKDAY(AF44,1))</f>
        <v>5</v>
      </c>
      <c r="AG47" s="9">
        <f t="shared" si="30"/>
        <v>6</v>
      </c>
      <c r="AH47" s="648">
        <f>COUNTIF(C48:AG48,AI47)</f>
        <v>0</v>
      </c>
      <c r="AI47" s="633" t="s">
        <v>799</v>
      </c>
      <c r="AJ47" s="13">
        <v>31</v>
      </c>
      <c r="AL47" s="23"/>
      <c r="AM47" s="31"/>
      <c r="AN47" s="31"/>
      <c r="AO47" s="635">
        <f>Absences2681012149[[#This Row],[debut]]</f>
        <v>0</v>
      </c>
      <c r="AP47" s="13"/>
      <c r="AQ47" s="13"/>
      <c r="AR47" s="13"/>
      <c r="AS47" s="13"/>
      <c r="AT47" s="13"/>
      <c r="AU47" s="94" t="s">
        <v>97</v>
      </c>
      <c r="AV47" s="50">
        <v>0.27083333333333331</v>
      </c>
      <c r="AW47" s="50">
        <v>0.60416666666666663</v>
      </c>
      <c r="AX47" s="51">
        <v>1</v>
      </c>
      <c r="AY47" s="52">
        <f>IF(AW47-AV47=0,0,(AW47-AV47)-(AX47*TIMEVALUE("00:30")))</f>
        <v>0.3125</v>
      </c>
      <c r="AZ47" s="53" t="s">
        <v>74</v>
      </c>
      <c r="BA47" s="54"/>
      <c r="BB47" s="55"/>
      <c r="BC47" s="56"/>
      <c r="BD47" s="56"/>
      <c r="BE47" s="56"/>
      <c r="BF47" s="56"/>
      <c r="BH47" s="290"/>
      <c r="BI47" s="294"/>
      <c r="BJ47" s="294"/>
      <c r="BK47" s="294"/>
      <c r="BL47" s="294"/>
      <c r="BM47" s="294"/>
      <c r="BN47" s="294"/>
      <c r="BO47" s="294"/>
      <c r="BP47" s="294"/>
      <c r="BQ47" s="294"/>
      <c r="BR47" s="294"/>
      <c r="BS47" s="294"/>
      <c r="BT47" s="294"/>
      <c r="BU47" s="294"/>
      <c r="BV47" s="294"/>
      <c r="BW47" s="313"/>
    </row>
    <row r="48" spans="1:83" ht="15.75" customHeight="1" x14ac:dyDescent="0.25">
      <c r="A48" s="679" t="s">
        <v>7</v>
      </c>
      <c r="B48" s="658">
        <f>COUNTIF(C48:AG48,A48)</f>
        <v>0</v>
      </c>
      <c r="C48" s="693" t="str">
        <f t="array" ref="C48">IF(OR(C47=1,C47=7),"",IFERROR(INDEX($AK$17:$AN$116,MATCH(1,(C44&gt;=$AM$17:$AM$116)*($AN$17:$AN$116&gt;=C44)*($AK$17:$AK$116=$U$2),0),2),""))</f>
        <v/>
      </c>
      <c r="D48" s="694" t="str">
        <f t="array" ref="D48">IF(OR(D47=1,D47=7),"",IFERROR(INDEX($AK$17:$AN$116,MATCH(1,(D44&gt;=$AM$17:$AM$116)*($AN$17:$AN$116&gt;=D44)*($AK$17:$AK$116=$U$2),0),2),""))</f>
        <v/>
      </c>
      <c r="E48" s="694" t="str">
        <f t="array" ref="E48">IF(OR(E47=1,E47=7),"",IFERROR(INDEX($AK$17:$AN$116,MATCH(1,(E44&gt;=$AM$17:$AM$116)*($AN$17:$AN$116&gt;=E44)*($AK$17:$AK$116=$U$2),0),2),""))</f>
        <v/>
      </c>
      <c r="F48" s="694" t="str">
        <f t="array" ref="F48">IF(OR(F47=1,F47=7),"",IFERROR(INDEX($AK$17:$AN$116,MATCH(1,(F44&gt;=$AM$17:$AM$116)*($AN$17:$AN$116&gt;=F44)*($AK$17:$AK$116=$U$2),0),2),""))</f>
        <v/>
      </c>
      <c r="G48" s="694" t="str">
        <f t="array" ref="G48">IF(OR(G47=1,G47=7),"",IFERROR(INDEX($AK$17:$AN$116,MATCH(1,(G44&gt;=$AM$17:$AM$116)*($AN$17:$AN$116&gt;=G44)*($AK$17:$AK$116=$U$2),0),2),""))</f>
        <v/>
      </c>
      <c r="H48" s="694" t="str">
        <f t="array" ref="H48">IF(OR(H47=1,H47=7),"",IFERROR(INDEX($AK$17:$AN$116,MATCH(1,(H44&gt;=$AM$17:$AM$116)*($AN$17:$AN$116&gt;=H44)*($AK$17:$AK$116=$U$2),0),2),""))</f>
        <v/>
      </c>
      <c r="I48" s="694" t="str">
        <f t="array" ref="I48">IF(OR(I47=1,I47=7),"",IFERROR(INDEX($AK$17:$AN$116,MATCH(1,(I44&gt;=$AM$17:$AM$116)*($AN$17:$AN$116&gt;=I44)*($AK$17:$AK$116=$U$2),0),2),""))</f>
        <v/>
      </c>
      <c r="J48" s="694" t="str">
        <f t="array" ref="J48">IF(OR(J47=1,J47=7),"",IFERROR(INDEX($AK$17:$AN$116,MATCH(1,(J44&gt;=$AM$17:$AM$116)*($AN$17:$AN$116&gt;=J44)*($AK$17:$AK$116=$U$2),0),2),""))</f>
        <v/>
      </c>
      <c r="K48" s="694" t="str">
        <f t="array" ref="K48">IF(OR(K47=1,K47=7),"",IFERROR(INDEX($AK$17:$AN$116,MATCH(1,(K44&gt;=$AM$17:$AM$116)*($AN$17:$AN$116&gt;=K44)*($AK$17:$AK$116=$U$2),0),2),""))</f>
        <v/>
      </c>
      <c r="L48" s="694" t="str">
        <f t="array" ref="L48">IF(OR(L47=1,L47=7),"",IFERROR(INDEX($AK$17:$AN$116,MATCH(1,(L44&gt;=$AM$17:$AM$116)*($AN$17:$AN$116&gt;=L44)*($AK$17:$AK$116=$U$2),0),2),""))</f>
        <v/>
      </c>
      <c r="M48" s="694" t="str">
        <f t="array" ref="M48">IF(OR(M47=1,M47=7),"",IFERROR(INDEX($AK$17:$AN$116,MATCH(1,(M44&gt;=$AM$17:$AM$116)*($AN$17:$AN$116&gt;=M44)*($AK$17:$AK$116=$U$2),0),2),""))</f>
        <v/>
      </c>
      <c r="N48" s="694" t="str">
        <f t="array" ref="N48">IF(OR(N47=1,N47=7),"",IFERROR(INDEX($AK$17:$AN$116,MATCH(1,(N44&gt;=$AM$17:$AM$116)*($AN$17:$AN$116&gt;=N44)*($AK$17:$AK$116=$U$2),0),2),""))</f>
        <v/>
      </c>
      <c r="O48" s="694" t="str">
        <f t="array" ref="O48">IF(OR(O47=1,O47=7),"",IFERROR(INDEX($AK$17:$AN$116,MATCH(1,(O44&gt;=$AM$17:$AM$116)*($AN$17:$AN$116&gt;=O44)*($AK$17:$AK$116=$U$2),0),2),""))</f>
        <v/>
      </c>
      <c r="P48" s="694" t="str">
        <f t="array" ref="P48">IF(OR(P47=1,P47=7),"",IFERROR(INDEX($AK$17:$AN$116,MATCH(1,(P44&gt;=$AM$17:$AM$116)*($AN$17:$AN$116&gt;=P44)*($AK$17:$AK$116=$U$2),0),2),""))</f>
        <v/>
      </c>
      <c r="Q48" s="694" t="str">
        <f t="array" ref="Q48">IF(OR(Q47=1,Q47=7),"",IFERROR(INDEX($AK$17:$AN$116,MATCH(1,(Q44&gt;=$AM$17:$AM$116)*($AN$17:$AN$116&gt;=Q44)*($AK$17:$AK$116=$U$2),0),2),""))</f>
        <v/>
      </c>
      <c r="R48" s="694" t="str">
        <f t="array" ref="R48">IF(OR(R47=1,R47=7),"",IFERROR(INDEX($AK$17:$AN$116,MATCH(1,(R44&gt;=$AM$17:$AM$116)*($AN$17:$AN$116&gt;=R44)*($AK$17:$AK$116=$U$2),0),2),""))</f>
        <v/>
      </c>
      <c r="S48" s="694" t="str">
        <f t="array" ref="S48">IF(OR(S47=1,S47=7),"",IFERROR(INDEX($AK$17:$AN$116,MATCH(1,(S44&gt;=$AM$17:$AM$116)*($AN$17:$AN$116&gt;=S44)*($AK$17:$AK$116=$U$2),0),2),""))</f>
        <v/>
      </c>
      <c r="T48" s="694" t="str">
        <f t="array" ref="T48">IF(OR(T47=1,T47=7),"",IFERROR(INDEX($AK$17:$AN$116,MATCH(1,(T44&gt;=$AM$17:$AM$116)*($AN$17:$AN$116&gt;=T44)*($AK$17:$AK$116=$U$2),0),2),""))</f>
        <v/>
      </c>
      <c r="U48" s="694" t="str">
        <f t="array" ref="U48">IF(OR(U47=1,U47=7),"",IFERROR(INDEX($AK$17:$AN$116,MATCH(1,(U44&gt;=$AM$17:$AM$116)*($AN$17:$AN$116&gt;=U44)*($AK$17:$AK$116=$U$2),0),2),""))</f>
        <v/>
      </c>
      <c r="V48" s="694" t="str">
        <f t="array" ref="V48">IF(OR(V47=1,V47=7),"",IFERROR(INDEX($AK$17:$AN$116,MATCH(1,(V44&gt;=$AM$17:$AM$116)*($AN$17:$AN$116&gt;=V44)*($AK$17:$AK$116=$U$2),0),2),""))</f>
        <v/>
      </c>
      <c r="W48" s="694" t="str">
        <f t="array" ref="W48">IF(OR(W47=1,W47=7),"",IFERROR(INDEX($AK$17:$AN$116,MATCH(1,(W44&gt;=$AM$17:$AM$116)*($AN$17:$AN$116&gt;=W44)*($AK$17:$AK$116=$U$2),0),2),""))</f>
        <v/>
      </c>
      <c r="X48" s="694" t="str">
        <f t="array" ref="X48">IF(OR(X47=1,X47=7),"",IFERROR(INDEX($AK$17:$AN$116,MATCH(1,(X44&gt;=$AM$17:$AM$116)*($AN$17:$AN$116&gt;=X44)*($AK$17:$AK$116=$U$2),0),2),""))</f>
        <v/>
      </c>
      <c r="Y48" s="694" t="str">
        <f t="array" ref="Y48">IF(OR(Y47=1,Y47=7),"",IFERROR(INDEX($AK$17:$AN$116,MATCH(1,(Y44&gt;=$AM$17:$AM$116)*($AN$17:$AN$116&gt;=Y44)*($AK$17:$AK$116=$U$2),0),2),""))</f>
        <v/>
      </c>
      <c r="Z48" s="694" t="str">
        <f t="array" ref="Z48">IF(OR(Z47=1,Z47=7),"",IFERROR(INDEX($AK$17:$AN$116,MATCH(1,(Z44&gt;=$AM$17:$AM$116)*($AN$17:$AN$116&gt;=Z44)*($AK$17:$AK$116=$U$2),0),2),""))</f>
        <v/>
      </c>
      <c r="AA48" s="694" t="str">
        <f t="array" ref="AA48">IF(OR(AA47=1,AA47=7),"",IFERROR(INDEX($AK$17:$AN$116,MATCH(1,(AA44&gt;=$AM$17:$AM$116)*($AN$17:$AN$116&gt;=AA44)*($AK$17:$AK$116=$U$2),0),2),""))</f>
        <v/>
      </c>
      <c r="AB48" s="694" t="str">
        <f t="array" ref="AB48">IF(OR(AB47=1,AB47=7),"",IFERROR(INDEX($AK$17:$AN$116,MATCH(1,(AB44&gt;=$AM$17:$AM$116)*($AN$17:$AN$116&gt;=AB44)*($AK$17:$AK$116=$U$2),0),2),""))</f>
        <v/>
      </c>
      <c r="AC48" s="694" t="str">
        <f t="array" ref="AC48">IF(OR(AC47=1,AC47=7),"",IFERROR(INDEX($AK$17:$AN$116,MATCH(1,(AC44&gt;=$AM$17:$AM$116)*($AN$17:$AN$116&gt;=AC44)*($AK$17:$AK$116=$U$2),0),2),""))</f>
        <v/>
      </c>
      <c r="AD48" s="694" t="str">
        <f t="array" ref="AD48">IF(OR(AD47=1,AD47=7),"",IFERROR(INDEX($AK$17:$AN$116,MATCH(1,(AD44&gt;=$AM$17:$AM$116)*($AN$17:$AN$116&gt;=AD44)*($AK$17:$AK$116=$U$2),0),2),""))</f>
        <v/>
      </c>
      <c r="AE48" s="694" t="str">
        <f t="array" ref="AE48">IF(OR(AE47=1,AE47=7),"",IFERROR(INDEX($AK$17:$AN$116,MATCH(1,(AE44&gt;=$AM$17:$AM$116)*($AN$17:$AN$116&gt;=AE44)*($AK$17:$AK$116=$U$2),0),2),""))</f>
        <v/>
      </c>
      <c r="AF48" s="694" t="str">
        <f t="array" ref="AF48">IF(OR(AF47=1,AF47=7),"",IFERROR(INDEX($AK$17:$AN$116,MATCH(1,(AF44&gt;=$AM$17:$AM$116)*($AN$17:$AN$116&gt;=AF44)*($AK$17:$AK$116=$U$2),0),2),""))</f>
        <v/>
      </c>
      <c r="AG48" s="695" t="str">
        <f t="array" ref="AG48">IF(OR(AG47=1,AG47=7),"",IFERROR(INDEX($AK$17:$AN$116,MATCH(1,(AG44&gt;=$AM$17:$AM$116)*($AN$17:$AN$116&gt;=AG44)*($AK$17:$AK$116=$U$2),0),2),""))</f>
        <v/>
      </c>
      <c r="AH48" s="648">
        <f>COUNTIF(C48:AG48,AI48)</f>
        <v>0</v>
      </c>
      <c r="AI48" s="639" t="s">
        <v>362</v>
      </c>
      <c r="AJ48" s="13">
        <v>32</v>
      </c>
      <c r="AL48" s="23"/>
      <c r="AM48" s="31"/>
      <c r="AN48" s="31"/>
      <c r="AO48" s="635">
        <f>Absences2681012149[[#This Row],[debut]]</f>
        <v>0</v>
      </c>
      <c r="AP48" s="13"/>
      <c r="AQ48" s="13"/>
      <c r="AR48" s="13"/>
      <c r="AS48" s="13"/>
      <c r="AT48" s="13"/>
      <c r="AU48" s="1506" t="s">
        <v>131</v>
      </c>
      <c r="AV48" s="1506"/>
      <c r="AW48" s="1506"/>
      <c r="AX48" s="1506"/>
      <c r="AY48" s="1506"/>
      <c r="AZ48" s="1506"/>
      <c r="BA48" s="1506"/>
      <c r="BB48" s="1506"/>
      <c r="BC48" s="1506"/>
      <c r="BD48" s="1506"/>
      <c r="BE48" s="1506"/>
      <c r="BF48" s="1506"/>
      <c r="BH48" s="290"/>
      <c r="BI48" s="294"/>
      <c r="BJ48" s="294"/>
      <c r="BK48" s="294"/>
      <c r="BL48" s="294"/>
      <c r="BM48" s="294"/>
      <c r="BN48" s="294"/>
      <c r="BO48" s="294"/>
      <c r="BP48" s="294"/>
      <c r="BQ48" s="294"/>
      <c r="BR48" s="294"/>
      <c r="BS48" s="294"/>
      <c r="BT48" s="294"/>
      <c r="BU48" s="294"/>
      <c r="BV48" s="294"/>
      <c r="BW48" s="313"/>
    </row>
    <row r="49" spans="1:75" ht="16.5" customHeight="1" thickBot="1" x14ac:dyDescent="0.3">
      <c r="A49" s="678"/>
      <c r="B49" s="40">
        <f>COUNTA(C49:AG49)</f>
        <v>0</v>
      </c>
      <c r="C49" s="41"/>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677"/>
      <c r="AI49" s="678"/>
      <c r="AJ49" s="13">
        <v>33</v>
      </c>
      <c r="AL49" s="23"/>
      <c r="AM49" s="31"/>
      <c r="AN49" s="31"/>
      <c r="AO49" s="635">
        <f>Absences2681012149[[#This Row],[debut]]</f>
        <v>0</v>
      </c>
      <c r="AP49" s="13"/>
      <c r="AQ49" s="13"/>
      <c r="AR49" s="13"/>
      <c r="AS49" s="13"/>
      <c r="AT49" s="13"/>
      <c r="AU49" s="1506"/>
      <c r="AV49" s="1506"/>
      <c r="AW49" s="1506"/>
      <c r="AX49" s="1506"/>
      <c r="AY49" s="1506"/>
      <c r="AZ49" s="1506"/>
      <c r="BA49" s="1506"/>
      <c r="BB49" s="1506"/>
      <c r="BC49" s="1506"/>
      <c r="BD49" s="1506"/>
      <c r="BE49" s="1506"/>
      <c r="BF49" s="1506"/>
      <c r="BH49" s="290"/>
      <c r="BI49" s="294"/>
      <c r="BJ49" s="294"/>
      <c r="BK49" s="294"/>
      <c r="BL49" s="294"/>
      <c r="BM49" s="294"/>
      <c r="BN49" s="294"/>
      <c r="BO49" s="294"/>
      <c r="BP49" s="294"/>
      <c r="BQ49" s="294"/>
      <c r="BR49" s="294"/>
      <c r="BS49" s="294"/>
      <c r="BT49" s="294"/>
      <c r="BU49" s="294"/>
      <c r="BV49" s="294"/>
      <c r="BW49" s="313"/>
    </row>
    <row r="50" spans="1:75" ht="14.25" customHeight="1" x14ac:dyDescent="0.25">
      <c r="A50" s="651"/>
      <c r="B50" s="20">
        <f>DATE($C$2,MONTH(1&amp;"/"&amp;C51),1)</f>
        <v>44044</v>
      </c>
      <c r="C50" s="14">
        <f>B50</f>
        <v>44044</v>
      </c>
      <c r="D50" s="14">
        <f>IFERROR(IF(C50+1&gt;$B$51,"",C50+1),"")</f>
        <v>44045</v>
      </c>
      <c r="E50" s="14">
        <f t="shared" ref="E50:AG50" si="31">IFERROR(IF(D50+1&gt;$B$51,"",D50+1),"")</f>
        <v>44046</v>
      </c>
      <c r="F50" s="14">
        <f t="shared" si="31"/>
        <v>44047</v>
      </c>
      <c r="G50" s="14">
        <f t="shared" si="31"/>
        <v>44048</v>
      </c>
      <c r="H50" s="14">
        <f t="shared" si="31"/>
        <v>44049</v>
      </c>
      <c r="I50" s="14">
        <f t="shared" si="31"/>
        <v>44050</v>
      </c>
      <c r="J50" s="14">
        <f t="shared" si="31"/>
        <v>44051</v>
      </c>
      <c r="K50" s="14">
        <f t="shared" si="31"/>
        <v>44052</v>
      </c>
      <c r="L50" s="14">
        <f t="shared" si="31"/>
        <v>44053</v>
      </c>
      <c r="M50" s="14">
        <f t="shared" si="31"/>
        <v>44054</v>
      </c>
      <c r="N50" s="14">
        <f t="shared" si="31"/>
        <v>44055</v>
      </c>
      <c r="O50" s="14">
        <f t="shared" si="31"/>
        <v>44056</v>
      </c>
      <c r="P50" s="14">
        <f t="shared" si="31"/>
        <v>44057</v>
      </c>
      <c r="Q50" s="14">
        <f t="shared" si="31"/>
        <v>44058</v>
      </c>
      <c r="R50" s="14">
        <f t="shared" si="31"/>
        <v>44059</v>
      </c>
      <c r="S50" s="14">
        <f t="shared" si="31"/>
        <v>44060</v>
      </c>
      <c r="T50" s="14">
        <f t="shared" si="31"/>
        <v>44061</v>
      </c>
      <c r="U50" s="14">
        <f t="shared" si="31"/>
        <v>44062</v>
      </c>
      <c r="V50" s="14">
        <f t="shared" si="31"/>
        <v>44063</v>
      </c>
      <c r="W50" s="14">
        <f t="shared" si="31"/>
        <v>44064</v>
      </c>
      <c r="X50" s="14">
        <f t="shared" si="31"/>
        <v>44065</v>
      </c>
      <c r="Y50" s="14">
        <f t="shared" si="31"/>
        <v>44066</v>
      </c>
      <c r="Z50" s="14">
        <f t="shared" si="31"/>
        <v>44067</v>
      </c>
      <c r="AA50" s="14">
        <f t="shared" si="31"/>
        <v>44068</v>
      </c>
      <c r="AB50" s="14">
        <f t="shared" si="31"/>
        <v>44069</v>
      </c>
      <c r="AC50" s="14">
        <f t="shared" si="31"/>
        <v>44070</v>
      </c>
      <c r="AD50" s="14">
        <f t="shared" si="31"/>
        <v>44071</v>
      </c>
      <c r="AE50" s="14">
        <f t="shared" si="31"/>
        <v>44072</v>
      </c>
      <c r="AF50" s="14">
        <f t="shared" si="31"/>
        <v>44073</v>
      </c>
      <c r="AG50" s="14">
        <f t="shared" si="31"/>
        <v>44074</v>
      </c>
      <c r="AH50" s="647">
        <f>COUNTIF(C54:AG54,AI50)</f>
        <v>0</v>
      </c>
      <c r="AI50" s="640" t="s">
        <v>8</v>
      </c>
      <c r="AJ50" s="13">
        <v>34</v>
      </c>
      <c r="AL50" s="23"/>
      <c r="AM50" s="31"/>
      <c r="AN50" s="31"/>
      <c r="AO50" s="635">
        <f>Absences2681012149[[#This Row],[debut]]</f>
        <v>0</v>
      </c>
      <c r="AP50" s="13"/>
      <c r="AQ50" s="13"/>
      <c r="AR50" s="45"/>
      <c r="AS50" s="45"/>
      <c r="AT50" s="45"/>
      <c r="AU50" s="1506"/>
      <c r="AV50" s="1506"/>
      <c r="AW50" s="1506"/>
      <c r="AX50" s="1506"/>
      <c r="AY50" s="1506"/>
      <c r="AZ50" s="1506"/>
      <c r="BA50" s="1506"/>
      <c r="BB50" s="1506"/>
      <c r="BC50" s="1506"/>
      <c r="BD50" s="1506"/>
      <c r="BE50" s="1506"/>
      <c r="BF50" s="1506"/>
      <c r="BH50" s="348"/>
      <c r="BI50" s="349"/>
      <c r="BJ50" s="349"/>
      <c r="BK50" s="349"/>
      <c r="BL50" s="349"/>
      <c r="BM50" s="349"/>
      <c r="BN50" s="349"/>
      <c r="BO50" s="349"/>
      <c r="BP50" s="349"/>
      <c r="BQ50" s="349"/>
      <c r="BR50" s="349"/>
      <c r="BS50" s="349"/>
      <c r="BT50" s="349"/>
      <c r="BU50" s="349"/>
      <c r="BV50" s="349"/>
      <c r="BW50" s="350"/>
    </row>
    <row r="51" spans="1:75" ht="19.5" thickBot="1" x14ac:dyDescent="0.3">
      <c r="A51" s="652"/>
      <c r="B51" s="21">
        <f>EOMONTH(B50,0)</f>
        <v>44074</v>
      </c>
      <c r="C51" s="1476" t="s">
        <v>42</v>
      </c>
      <c r="D51" s="1477"/>
      <c r="E51" s="1477"/>
      <c r="F51" s="1477"/>
      <c r="G51" s="1477"/>
      <c r="H51" s="1477"/>
      <c r="I51" s="1477"/>
      <c r="J51" s="1477"/>
      <c r="K51" s="1477"/>
      <c r="L51" s="1477"/>
      <c r="M51" s="1477"/>
      <c r="N51" s="1477"/>
      <c r="O51" s="1477"/>
      <c r="P51" s="1477"/>
      <c r="Q51" s="1477"/>
      <c r="R51" s="1477"/>
      <c r="S51" s="1477"/>
      <c r="T51" s="1477"/>
      <c r="U51" s="1477"/>
      <c r="V51" s="1477"/>
      <c r="W51" s="1477"/>
      <c r="X51" s="1477"/>
      <c r="Y51" s="1477"/>
      <c r="Z51" s="1477"/>
      <c r="AA51" s="1477"/>
      <c r="AB51" s="1477"/>
      <c r="AC51" s="1477"/>
      <c r="AD51" s="1477"/>
      <c r="AE51" s="1477"/>
      <c r="AF51" s="1477"/>
      <c r="AG51" s="1478"/>
      <c r="AH51" s="648">
        <f>COUNTIF(C54:AG54,AI51)</f>
        <v>0</v>
      </c>
      <c r="AI51" s="629" t="s">
        <v>360</v>
      </c>
      <c r="AJ51" s="13">
        <v>35</v>
      </c>
      <c r="AL51" s="23"/>
      <c r="AM51" s="31"/>
      <c r="AN51" s="31"/>
      <c r="AO51" s="635">
        <f>Absences2681012149[[#This Row],[debut]]</f>
        <v>0</v>
      </c>
      <c r="AP51" s="13"/>
      <c r="AQ51" s="13"/>
      <c r="AR51" s="13"/>
      <c r="AS51" s="13"/>
      <c r="AT51" s="13"/>
      <c r="AU51" s="94" t="s">
        <v>98</v>
      </c>
      <c r="AV51" s="50">
        <v>0.25</v>
      </c>
      <c r="AW51" s="50">
        <v>0.60416666666666663</v>
      </c>
      <c r="AX51" s="51">
        <v>1</v>
      </c>
      <c r="AY51" s="52">
        <f>IF(AW51-AV51=0,0,(AW51-AV51)-(AX51*TIMEVALUE("00:30")))</f>
        <v>0.33333333333333331</v>
      </c>
      <c r="AZ51" s="53" t="s">
        <v>75</v>
      </c>
      <c r="BA51" s="54"/>
      <c r="BB51" s="55"/>
      <c r="BC51" s="56"/>
      <c r="BD51" s="56"/>
      <c r="BE51" s="56"/>
      <c r="BF51" s="56"/>
    </row>
    <row r="52" spans="1:75" x14ac:dyDescent="0.25">
      <c r="A52" s="654" t="s">
        <v>662</v>
      </c>
      <c r="B52" s="657">
        <f>COUNTIF(C54:AG54,A52)</f>
        <v>0</v>
      </c>
      <c r="C52" s="6">
        <f t="shared" ref="C52:AG52" si="32">IFERROR(DAY(C50),"")</f>
        <v>1</v>
      </c>
      <c r="D52" s="3">
        <f t="shared" si="32"/>
        <v>2</v>
      </c>
      <c r="E52" s="3">
        <f t="shared" si="32"/>
        <v>3</v>
      </c>
      <c r="F52" s="3">
        <f t="shared" si="32"/>
        <v>4</v>
      </c>
      <c r="G52" s="3">
        <f t="shared" si="32"/>
        <v>5</v>
      </c>
      <c r="H52" s="3">
        <f t="shared" si="32"/>
        <v>6</v>
      </c>
      <c r="I52" s="3">
        <f t="shared" si="32"/>
        <v>7</v>
      </c>
      <c r="J52" s="3">
        <f t="shared" si="32"/>
        <v>8</v>
      </c>
      <c r="K52" s="3">
        <f t="shared" si="32"/>
        <v>9</v>
      </c>
      <c r="L52" s="3">
        <f t="shared" si="32"/>
        <v>10</v>
      </c>
      <c r="M52" s="3">
        <f t="shared" si="32"/>
        <v>11</v>
      </c>
      <c r="N52" s="3">
        <f t="shared" si="32"/>
        <v>12</v>
      </c>
      <c r="O52" s="3">
        <f t="shared" si="32"/>
        <v>13</v>
      </c>
      <c r="P52" s="3">
        <f t="shared" si="32"/>
        <v>14</v>
      </c>
      <c r="Q52" s="3">
        <f t="shared" si="32"/>
        <v>15</v>
      </c>
      <c r="R52" s="3">
        <f t="shared" si="32"/>
        <v>16</v>
      </c>
      <c r="S52" s="3">
        <f t="shared" si="32"/>
        <v>17</v>
      </c>
      <c r="T52" s="3">
        <f t="shared" si="32"/>
        <v>18</v>
      </c>
      <c r="U52" s="3">
        <f t="shared" si="32"/>
        <v>19</v>
      </c>
      <c r="V52" s="3">
        <f t="shared" si="32"/>
        <v>20</v>
      </c>
      <c r="W52" s="3">
        <f t="shared" si="32"/>
        <v>21</v>
      </c>
      <c r="X52" s="3">
        <f t="shared" si="32"/>
        <v>22</v>
      </c>
      <c r="Y52" s="3">
        <f t="shared" si="32"/>
        <v>23</v>
      </c>
      <c r="Z52" s="3">
        <f t="shared" si="32"/>
        <v>24</v>
      </c>
      <c r="AA52" s="3">
        <f t="shared" si="32"/>
        <v>25</v>
      </c>
      <c r="AB52" s="3">
        <f t="shared" si="32"/>
        <v>26</v>
      </c>
      <c r="AC52" s="3">
        <f t="shared" si="32"/>
        <v>27</v>
      </c>
      <c r="AD52" s="3">
        <f t="shared" si="32"/>
        <v>28</v>
      </c>
      <c r="AE52" s="3">
        <f t="shared" si="32"/>
        <v>29</v>
      </c>
      <c r="AF52" s="3">
        <f t="shared" si="32"/>
        <v>30</v>
      </c>
      <c r="AG52" s="7">
        <f t="shared" si="32"/>
        <v>31</v>
      </c>
      <c r="AH52" s="648">
        <f>COUNTIF(C54:AG54,AI52)</f>
        <v>0</v>
      </c>
      <c r="AI52" s="10" t="s">
        <v>6</v>
      </c>
      <c r="AJ52" s="13">
        <v>36</v>
      </c>
      <c r="AL52" s="23"/>
      <c r="AM52" s="31"/>
      <c r="AN52" s="31"/>
      <c r="AO52" s="635">
        <f>Absences2681012149[[#This Row],[debut]]</f>
        <v>0</v>
      </c>
      <c r="AP52" s="13"/>
      <c r="AQ52" s="13"/>
      <c r="AR52" s="13"/>
      <c r="AS52" s="13"/>
      <c r="AT52" s="13"/>
      <c r="AU52" s="70"/>
      <c r="AV52" s="57"/>
      <c r="AW52" s="57"/>
      <c r="AX52" s="57"/>
      <c r="AY52" s="54"/>
      <c r="AZ52" s="54"/>
      <c r="BA52" s="54"/>
      <c r="BB52" s="55"/>
      <c r="BC52" s="56"/>
      <c r="BD52" s="56"/>
      <c r="BE52" s="56"/>
      <c r="BF52" s="56"/>
    </row>
    <row r="53" spans="1:75" ht="16.5" thickBot="1" x14ac:dyDescent="0.3">
      <c r="A53" s="655" t="s">
        <v>800</v>
      </c>
      <c r="B53" s="658">
        <f>COUNTIF(C54:AG54,A53)</f>
        <v>0</v>
      </c>
      <c r="C53" s="5">
        <f t="shared" ref="C53:AC53" si="33">IF(C50="","",WEEKDAY(C50,1))</f>
        <v>7</v>
      </c>
      <c r="D53" s="8">
        <f t="shared" si="33"/>
        <v>1</v>
      </c>
      <c r="E53" s="8">
        <f t="shared" si="33"/>
        <v>2</v>
      </c>
      <c r="F53" s="8">
        <f t="shared" si="33"/>
        <v>3</v>
      </c>
      <c r="G53" s="8">
        <f t="shared" si="33"/>
        <v>4</v>
      </c>
      <c r="H53" s="8">
        <f t="shared" si="33"/>
        <v>5</v>
      </c>
      <c r="I53" s="8">
        <f t="shared" si="33"/>
        <v>6</v>
      </c>
      <c r="J53" s="8">
        <f t="shared" si="33"/>
        <v>7</v>
      </c>
      <c r="K53" s="8">
        <f t="shared" si="33"/>
        <v>1</v>
      </c>
      <c r="L53" s="8">
        <f t="shared" si="33"/>
        <v>2</v>
      </c>
      <c r="M53" s="8">
        <f t="shared" si="33"/>
        <v>3</v>
      </c>
      <c r="N53" s="8">
        <f t="shared" si="33"/>
        <v>4</v>
      </c>
      <c r="O53" s="8">
        <f t="shared" si="33"/>
        <v>5</v>
      </c>
      <c r="P53" s="8">
        <f t="shared" si="33"/>
        <v>6</v>
      </c>
      <c r="Q53" s="8">
        <f t="shared" si="33"/>
        <v>7</v>
      </c>
      <c r="R53" s="8">
        <f t="shared" si="33"/>
        <v>1</v>
      </c>
      <c r="S53" s="8">
        <f t="shared" si="33"/>
        <v>2</v>
      </c>
      <c r="T53" s="8">
        <f t="shared" si="33"/>
        <v>3</v>
      </c>
      <c r="U53" s="8">
        <f t="shared" si="33"/>
        <v>4</v>
      </c>
      <c r="V53" s="8">
        <f t="shared" si="33"/>
        <v>5</v>
      </c>
      <c r="W53" s="8">
        <f t="shared" si="33"/>
        <v>6</v>
      </c>
      <c r="X53" s="8">
        <f t="shared" si="33"/>
        <v>7</v>
      </c>
      <c r="Y53" s="8">
        <f t="shared" si="33"/>
        <v>1</v>
      </c>
      <c r="Z53" s="8">
        <f t="shared" si="33"/>
        <v>2</v>
      </c>
      <c r="AA53" s="8">
        <f t="shared" si="33"/>
        <v>3</v>
      </c>
      <c r="AB53" s="8">
        <f t="shared" si="33"/>
        <v>4</v>
      </c>
      <c r="AC53" s="8">
        <f t="shared" si="33"/>
        <v>5</v>
      </c>
      <c r="AD53" s="8">
        <f>IF(AD50="","",WEEKDAY(AD50,1))</f>
        <v>6</v>
      </c>
      <c r="AE53" s="8">
        <f>IF(AE50="","",WEEKDAY(AE50,1))</f>
        <v>7</v>
      </c>
      <c r="AF53" s="8">
        <f t="shared" ref="AF53:AG53" si="34">IF(AF50="","",WEEKDAY(AF50,1))</f>
        <v>1</v>
      </c>
      <c r="AG53" s="9">
        <f t="shared" si="34"/>
        <v>2</v>
      </c>
      <c r="AH53" s="648">
        <f>COUNTIF(C54:AG54,AI53)</f>
        <v>0</v>
      </c>
      <c r="AI53" s="633" t="s">
        <v>799</v>
      </c>
      <c r="AJ53" s="13">
        <v>37</v>
      </c>
      <c r="AL53" s="23"/>
      <c r="AM53" s="31"/>
      <c r="AN53" s="31"/>
      <c r="AO53" s="635">
        <f>Absences2681012149[[#This Row],[debut]]</f>
        <v>0</v>
      </c>
      <c r="AP53" s="13"/>
      <c r="AQ53" s="13"/>
      <c r="AR53" s="13"/>
      <c r="AS53" s="13"/>
      <c r="AT53" s="13"/>
      <c r="AU53" s="94" t="s">
        <v>99</v>
      </c>
      <c r="AV53" s="50">
        <v>0.58333333333333337</v>
      </c>
      <c r="AW53" s="50">
        <v>0.83333333333333337</v>
      </c>
      <c r="AX53" s="51">
        <v>0</v>
      </c>
      <c r="AY53" s="52">
        <f>IF(AW53-AV53=0,0,(AW53-AV53)-(AX53*TIMEVALUE("00:30")))</f>
        <v>0.25</v>
      </c>
      <c r="AZ53" s="53" t="s">
        <v>123</v>
      </c>
      <c r="BA53" s="54"/>
      <c r="BB53" s="55"/>
      <c r="BC53" s="56"/>
      <c r="BD53" s="56"/>
      <c r="BE53" s="56"/>
      <c r="BF53" s="56"/>
    </row>
    <row r="54" spans="1:75" x14ac:dyDescent="0.25">
      <c r="A54" s="679" t="s">
        <v>7</v>
      </c>
      <c r="B54" s="658">
        <f>COUNTIF(C54:AG54,A54)</f>
        <v>0</v>
      </c>
      <c r="C54" s="693" t="str">
        <f t="array" ref="C54">IF(OR(C53=1,C53=7),"",IFERROR(INDEX($AK$17:$AN$116,MATCH(1,(C50&gt;=$AM$17:$AM$116)*($AN$17:$AN$116&gt;=C50)*($AK$17:$AK$116=$U$2),0),2),""))</f>
        <v/>
      </c>
      <c r="D54" s="694" t="str">
        <f t="array" ref="D54">IF(OR(D53=1,D53=7),"",IFERROR(INDEX($AK$17:$AN$116,MATCH(1,(D50&gt;=$AM$17:$AM$116)*($AN$17:$AN$116&gt;=D50)*($AK$17:$AK$116=$U$2),0),2),""))</f>
        <v/>
      </c>
      <c r="E54" s="694" t="str">
        <f t="array" ref="E54">IF(OR(E53=1,E53=7),"",IFERROR(INDEX($AK$17:$AN$116,MATCH(1,(E50&gt;=$AM$17:$AM$116)*($AN$17:$AN$116&gt;=E50)*($AK$17:$AK$116=$U$2),0),2),""))</f>
        <v/>
      </c>
      <c r="F54" s="694" t="str">
        <f t="array" ref="F54">IF(OR(F53=1,F53=7),"",IFERROR(INDEX($AK$17:$AN$116,MATCH(1,(F50&gt;=$AM$17:$AM$116)*($AN$17:$AN$116&gt;=F50)*($AK$17:$AK$116=$U$2),0),2),""))</f>
        <v/>
      </c>
      <c r="G54" s="694" t="str">
        <f t="array" ref="G54">IF(OR(G53=1,G53=7),"",IFERROR(INDEX($AK$17:$AN$116,MATCH(1,(G50&gt;=$AM$17:$AM$116)*($AN$17:$AN$116&gt;=G50)*($AK$17:$AK$116=$U$2),0),2),""))</f>
        <v/>
      </c>
      <c r="H54" s="694" t="str">
        <f t="array" ref="H54">IF(OR(H53=1,H53=7),"",IFERROR(INDEX($AK$17:$AN$116,MATCH(1,(H50&gt;=$AM$17:$AM$116)*($AN$17:$AN$116&gt;=H50)*($AK$17:$AK$116=$U$2),0),2),""))</f>
        <v/>
      </c>
      <c r="I54" s="694" t="str">
        <f t="array" ref="I54">IF(OR(I53=1,I53=7),"",IFERROR(INDEX($AK$17:$AN$116,MATCH(1,(I50&gt;=$AM$17:$AM$116)*($AN$17:$AN$116&gt;=I50)*($AK$17:$AK$116=$U$2),0),2),""))</f>
        <v/>
      </c>
      <c r="J54" s="694" t="str">
        <f t="array" ref="J54">IF(OR(J53=1,J53=7),"",IFERROR(INDEX($AK$17:$AN$116,MATCH(1,(J50&gt;=$AM$17:$AM$116)*($AN$17:$AN$116&gt;=J50)*($AK$17:$AK$116=$U$2),0),2),""))</f>
        <v/>
      </c>
      <c r="K54" s="694" t="str">
        <f t="array" ref="K54">IF(OR(K53=1,K53=7),"",IFERROR(INDEX($AK$17:$AN$116,MATCH(1,(K50&gt;=$AM$17:$AM$116)*($AN$17:$AN$116&gt;=K50)*($AK$17:$AK$116=$U$2),0),2),""))</f>
        <v/>
      </c>
      <c r="L54" s="694" t="str">
        <f t="array" ref="L54">IF(OR(L53=1,L53=7),"",IFERROR(INDEX($AK$17:$AN$116,MATCH(1,(L50&gt;=$AM$17:$AM$116)*($AN$17:$AN$116&gt;=L50)*($AK$17:$AK$116=$U$2),0),2),""))</f>
        <v/>
      </c>
      <c r="M54" s="694" t="str">
        <f t="array" ref="M54">IF(OR(M53=1,M53=7),"",IFERROR(INDEX($AK$17:$AN$116,MATCH(1,(M50&gt;=$AM$17:$AM$116)*($AN$17:$AN$116&gt;=M50)*($AK$17:$AK$116=$U$2),0),2),""))</f>
        <v/>
      </c>
      <c r="N54" s="694" t="str">
        <f t="array" ref="N54">IF(OR(N53=1,N53=7),"",IFERROR(INDEX($AK$17:$AN$116,MATCH(1,(N50&gt;=$AM$17:$AM$116)*($AN$17:$AN$116&gt;=N50)*($AK$17:$AK$116=$U$2),0),2),""))</f>
        <v/>
      </c>
      <c r="O54" s="694" t="str">
        <f t="array" ref="O54">IF(OR(O53=1,O53=7),"",IFERROR(INDEX($AK$17:$AN$116,MATCH(1,(O50&gt;=$AM$17:$AM$116)*($AN$17:$AN$116&gt;=O50)*($AK$17:$AK$116=$U$2),0),2),""))</f>
        <v/>
      </c>
      <c r="P54" s="694" t="str">
        <f t="array" ref="P54">IF(OR(P53=1,P53=7),"",IFERROR(INDEX($AK$17:$AN$116,MATCH(1,(P50&gt;=$AM$17:$AM$116)*($AN$17:$AN$116&gt;=P50)*($AK$17:$AK$116=$U$2),0),2),""))</f>
        <v/>
      </c>
      <c r="Q54" s="694" t="str">
        <f t="array" ref="Q54">IF(OR(Q53=1,Q53=7),"",IFERROR(INDEX($AK$17:$AN$116,MATCH(1,(Q50&gt;=$AM$17:$AM$116)*($AN$17:$AN$116&gt;=Q50)*($AK$17:$AK$116=$U$2),0),2),""))</f>
        <v/>
      </c>
      <c r="R54" s="694" t="str">
        <f t="array" ref="R54">IF(OR(R53=1,R53=7),"",IFERROR(INDEX($AK$17:$AN$116,MATCH(1,(R50&gt;=$AM$17:$AM$116)*($AN$17:$AN$116&gt;=R50)*($AK$17:$AK$116=$U$2),0),2),""))</f>
        <v/>
      </c>
      <c r="S54" s="694" t="str">
        <f t="array" ref="S54">IF(OR(S53=1,S53=7),"",IFERROR(INDEX($AK$17:$AN$116,MATCH(1,(S50&gt;=$AM$17:$AM$116)*($AN$17:$AN$116&gt;=S50)*($AK$17:$AK$116=$U$2),0),2),""))</f>
        <v/>
      </c>
      <c r="T54" s="694" t="str">
        <f t="array" ref="T54">IF(OR(T53=1,T53=7),"",IFERROR(INDEX($AK$17:$AN$116,MATCH(1,(T50&gt;=$AM$17:$AM$116)*($AN$17:$AN$116&gt;=T50)*($AK$17:$AK$116=$U$2),0),2),""))</f>
        <v/>
      </c>
      <c r="U54" s="694" t="str">
        <f t="array" ref="U54">IF(OR(U53=1,U53=7),"",IFERROR(INDEX($AK$17:$AN$116,MATCH(1,(U50&gt;=$AM$17:$AM$116)*($AN$17:$AN$116&gt;=U50)*($AK$17:$AK$116=$U$2),0),2),""))</f>
        <v/>
      </c>
      <c r="V54" s="694" t="str">
        <f t="array" ref="V54">IF(OR(V53=1,V53=7),"",IFERROR(INDEX($AK$17:$AN$116,MATCH(1,(V50&gt;=$AM$17:$AM$116)*($AN$17:$AN$116&gt;=V50)*($AK$17:$AK$116=$U$2),0),2),""))</f>
        <v/>
      </c>
      <c r="W54" s="694" t="str">
        <f t="array" ref="W54">IF(OR(W53=1,W53=7),"",IFERROR(INDEX($AK$17:$AN$116,MATCH(1,(W50&gt;=$AM$17:$AM$116)*($AN$17:$AN$116&gt;=W50)*($AK$17:$AK$116=$U$2),0),2),""))</f>
        <v/>
      </c>
      <c r="X54" s="694" t="str">
        <f t="array" ref="X54">IF(OR(X53=1,X53=7),"",IFERROR(INDEX($AK$17:$AN$116,MATCH(1,(X50&gt;=$AM$17:$AM$116)*($AN$17:$AN$116&gt;=X50)*($AK$17:$AK$116=$U$2),0),2),""))</f>
        <v/>
      </c>
      <c r="Y54" s="694" t="str">
        <f t="array" ref="Y54">IF(OR(Y53=1,Y53=7),"",IFERROR(INDEX($AK$17:$AN$116,MATCH(1,(Y50&gt;=$AM$17:$AM$116)*($AN$17:$AN$116&gt;=Y50)*($AK$17:$AK$116=$U$2),0),2),""))</f>
        <v/>
      </c>
      <c r="Z54" s="694" t="str">
        <f t="array" ref="Z54">IF(OR(Z53=1,Z53=7),"",IFERROR(INDEX($AK$17:$AN$116,MATCH(1,(Z50&gt;=$AM$17:$AM$116)*($AN$17:$AN$116&gt;=Z50)*($AK$17:$AK$116=$U$2),0),2),""))</f>
        <v/>
      </c>
      <c r="AA54" s="694" t="str">
        <f t="array" ref="AA54">IF(OR(AA53=1,AA53=7),"",IFERROR(INDEX($AK$17:$AN$116,MATCH(1,(AA50&gt;=$AM$17:$AM$116)*($AN$17:$AN$116&gt;=AA50)*($AK$17:$AK$116=$U$2),0),2),""))</f>
        <v/>
      </c>
      <c r="AB54" s="694" t="str">
        <f t="array" ref="AB54">IF(OR(AB53=1,AB53=7),"",IFERROR(INDEX($AK$17:$AN$116,MATCH(1,(AB50&gt;=$AM$17:$AM$116)*($AN$17:$AN$116&gt;=AB50)*($AK$17:$AK$116=$U$2),0),2),""))</f>
        <v/>
      </c>
      <c r="AC54" s="694" t="str">
        <f t="array" ref="AC54">IF(OR(AC53=1,AC53=7),"",IFERROR(INDEX($AK$17:$AN$116,MATCH(1,(AC50&gt;=$AM$17:$AM$116)*($AN$17:$AN$116&gt;=AC50)*($AK$17:$AK$116=$U$2),0),2),""))</f>
        <v/>
      </c>
      <c r="AD54" s="694" t="str">
        <f t="array" ref="AD54">IF(OR(AD53=1,AD53=7),"",IFERROR(INDEX($AK$17:$AN$116,MATCH(1,(AD50&gt;=$AM$17:$AM$116)*($AN$17:$AN$116&gt;=AD50)*($AK$17:$AK$116=$U$2),0),2),""))</f>
        <v/>
      </c>
      <c r="AE54" s="694" t="str">
        <f t="array" ref="AE54">IF(OR(AE53=1,AE53=7),"",IFERROR(INDEX($AK$17:$AN$116,MATCH(1,(AE50&gt;=$AM$17:$AM$116)*($AN$17:$AN$116&gt;=AE50)*($AK$17:$AK$116=$U$2),0),2),""))</f>
        <v/>
      </c>
      <c r="AF54" s="694" t="str">
        <f t="array" ref="AF54">IF(OR(AF53=1,AF53=7),"",IFERROR(INDEX($AK$17:$AN$116,MATCH(1,(AF50&gt;=$AM$17:$AM$116)*($AN$17:$AN$116&gt;=AF50)*($AK$17:$AK$116=$U$2),0),2),""))</f>
        <v/>
      </c>
      <c r="AG54" s="695" t="str">
        <f t="array" ref="AG54">IF(OR(AG53=1,AG53=7),"",IFERROR(INDEX($AK$17:$AN$116,MATCH(1,(AG50&gt;=$AM$17:$AM$116)*($AN$17:$AN$116&gt;=AG50)*($AK$17:$AK$116=$U$2),0),2),""))</f>
        <v/>
      </c>
      <c r="AH54" s="648">
        <f>COUNTIF(C54:AG54,AI54)</f>
        <v>0</v>
      </c>
      <c r="AI54" s="639" t="s">
        <v>362</v>
      </c>
      <c r="AJ54" s="13">
        <v>38</v>
      </c>
      <c r="AL54" s="23"/>
      <c r="AM54" s="31"/>
      <c r="AN54" s="31"/>
      <c r="AO54" s="635">
        <f>Absences2681012149[[#This Row],[debut]]</f>
        <v>0</v>
      </c>
      <c r="AP54" s="13"/>
      <c r="AQ54" s="13"/>
      <c r="AR54" s="13"/>
      <c r="AS54" s="13"/>
      <c r="AT54" s="13"/>
      <c r="AU54" s="13"/>
      <c r="AV54" s="13"/>
      <c r="AW54" s="13"/>
      <c r="AX54" s="13"/>
      <c r="AY54" s="13"/>
      <c r="AZ54" s="13"/>
      <c r="BA54" s="13"/>
      <c r="BB54" s="13"/>
      <c r="BC54" s="13"/>
      <c r="BD54" s="13"/>
      <c r="BE54" s="13"/>
      <c r="BF54" s="13"/>
    </row>
    <row r="55" spans="1:75" ht="16.5" customHeight="1" thickBot="1" x14ac:dyDescent="0.3">
      <c r="A55" s="678"/>
      <c r="B55" s="40">
        <f>COUNTA(C55:AG55)</f>
        <v>0</v>
      </c>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677"/>
      <c r="AI55" s="678"/>
      <c r="AJ55" s="13">
        <v>39</v>
      </c>
      <c r="AL55" s="23"/>
      <c r="AM55" s="31"/>
      <c r="AN55" s="31"/>
      <c r="AO55" s="635">
        <f>Absences2681012149[[#This Row],[debut]]</f>
        <v>0</v>
      </c>
      <c r="AP55" s="13"/>
      <c r="AQ55" s="13"/>
      <c r="AR55" s="13"/>
      <c r="AS55" s="13"/>
      <c r="AT55" s="13"/>
      <c r="AU55" s="13"/>
      <c r="AV55" s="13"/>
      <c r="AW55" s="13"/>
      <c r="AX55" s="13"/>
      <c r="AY55" s="13"/>
      <c r="AZ55" s="13"/>
      <c r="BA55" s="13"/>
      <c r="BB55" s="13"/>
      <c r="BC55" s="13"/>
      <c r="BD55" s="13"/>
      <c r="BE55" s="13"/>
      <c r="BF55" s="13"/>
    </row>
    <row r="56" spans="1:75" ht="14.25" customHeight="1" x14ac:dyDescent="0.25">
      <c r="A56" s="651"/>
      <c r="B56" s="20">
        <f>DATE($C$2,MONTH(1&amp;"/"&amp;C57),1)</f>
        <v>44075</v>
      </c>
      <c r="C56" s="14">
        <f>B56</f>
        <v>44075</v>
      </c>
      <c r="D56" s="14">
        <f>IFERROR(IF(C56+1&gt;$B$57,"",C56+1),"")</f>
        <v>44076</v>
      </c>
      <c r="E56" s="14">
        <f t="shared" ref="E56:AG56" si="35">IFERROR(IF(D56+1&gt;$B$57,"",D56+1),"")</f>
        <v>44077</v>
      </c>
      <c r="F56" s="14">
        <f t="shared" si="35"/>
        <v>44078</v>
      </c>
      <c r="G56" s="14">
        <f t="shared" si="35"/>
        <v>44079</v>
      </c>
      <c r="H56" s="14">
        <f t="shared" si="35"/>
        <v>44080</v>
      </c>
      <c r="I56" s="14">
        <f t="shared" si="35"/>
        <v>44081</v>
      </c>
      <c r="J56" s="14">
        <f t="shared" si="35"/>
        <v>44082</v>
      </c>
      <c r="K56" s="14">
        <f t="shared" si="35"/>
        <v>44083</v>
      </c>
      <c r="L56" s="14">
        <f t="shared" si="35"/>
        <v>44084</v>
      </c>
      <c r="M56" s="14">
        <f t="shared" si="35"/>
        <v>44085</v>
      </c>
      <c r="N56" s="14">
        <f t="shared" si="35"/>
        <v>44086</v>
      </c>
      <c r="O56" s="14">
        <f t="shared" si="35"/>
        <v>44087</v>
      </c>
      <c r="P56" s="14">
        <f t="shared" si="35"/>
        <v>44088</v>
      </c>
      <c r="Q56" s="14">
        <f t="shared" si="35"/>
        <v>44089</v>
      </c>
      <c r="R56" s="14">
        <f t="shared" si="35"/>
        <v>44090</v>
      </c>
      <c r="S56" s="14">
        <f t="shared" si="35"/>
        <v>44091</v>
      </c>
      <c r="T56" s="14">
        <f t="shared" si="35"/>
        <v>44092</v>
      </c>
      <c r="U56" s="14">
        <f t="shared" si="35"/>
        <v>44093</v>
      </c>
      <c r="V56" s="14">
        <f t="shared" si="35"/>
        <v>44094</v>
      </c>
      <c r="W56" s="14">
        <f t="shared" si="35"/>
        <v>44095</v>
      </c>
      <c r="X56" s="14">
        <f t="shared" si="35"/>
        <v>44096</v>
      </c>
      <c r="Y56" s="14">
        <f t="shared" si="35"/>
        <v>44097</v>
      </c>
      <c r="Z56" s="14">
        <f t="shared" si="35"/>
        <v>44098</v>
      </c>
      <c r="AA56" s="14">
        <f t="shared" si="35"/>
        <v>44099</v>
      </c>
      <c r="AB56" s="14">
        <f t="shared" si="35"/>
        <v>44100</v>
      </c>
      <c r="AC56" s="14">
        <f t="shared" si="35"/>
        <v>44101</v>
      </c>
      <c r="AD56" s="14">
        <f t="shared" si="35"/>
        <v>44102</v>
      </c>
      <c r="AE56" s="14">
        <f t="shared" si="35"/>
        <v>44103</v>
      </c>
      <c r="AF56" s="14">
        <f t="shared" si="35"/>
        <v>44104</v>
      </c>
      <c r="AG56" s="14" t="str">
        <f t="shared" si="35"/>
        <v/>
      </c>
      <c r="AH56" s="647">
        <f>COUNTIF(C60:AG60,AI56)</f>
        <v>0</v>
      </c>
      <c r="AI56" s="640" t="s">
        <v>8</v>
      </c>
      <c r="AJ56" s="13">
        <v>40</v>
      </c>
      <c r="AL56" s="23"/>
      <c r="AM56" s="31"/>
      <c r="AN56" s="31"/>
      <c r="AO56" s="635">
        <f>Absences2681012149[[#This Row],[debut]]</f>
        <v>0</v>
      </c>
      <c r="AP56" s="13"/>
      <c r="AQ56" s="13"/>
      <c r="AR56" s="45"/>
      <c r="AS56" s="45"/>
      <c r="AT56" s="45"/>
      <c r="AU56" s="54"/>
      <c r="AV56" s="54"/>
      <c r="AW56" s="72"/>
      <c r="AX56" s="56"/>
      <c r="AY56" s="54"/>
      <c r="AZ56" s="54"/>
      <c r="BA56" s="54"/>
      <c r="BB56" s="55"/>
      <c r="BC56" s="56"/>
      <c r="BD56" s="56"/>
      <c r="BE56" s="56"/>
      <c r="BF56" s="56"/>
    </row>
    <row r="57" spans="1:75" ht="19.5" thickBot="1" x14ac:dyDescent="0.3">
      <c r="A57" s="652"/>
      <c r="B57" s="21">
        <f>EOMONTH(B56,0)</f>
        <v>44104</v>
      </c>
      <c r="C57" s="1476" t="s">
        <v>41</v>
      </c>
      <c r="D57" s="1477"/>
      <c r="E57" s="1477"/>
      <c r="F57" s="1477"/>
      <c r="G57" s="1477"/>
      <c r="H57" s="1477"/>
      <c r="I57" s="1477"/>
      <c r="J57" s="1477"/>
      <c r="K57" s="1477"/>
      <c r="L57" s="1477"/>
      <c r="M57" s="1477"/>
      <c r="N57" s="1477"/>
      <c r="O57" s="1477"/>
      <c r="P57" s="1477"/>
      <c r="Q57" s="1477"/>
      <c r="R57" s="1477"/>
      <c r="S57" s="1477"/>
      <c r="T57" s="1477"/>
      <c r="U57" s="1477"/>
      <c r="V57" s="1477"/>
      <c r="W57" s="1477"/>
      <c r="X57" s="1477"/>
      <c r="Y57" s="1477"/>
      <c r="Z57" s="1477"/>
      <c r="AA57" s="1477"/>
      <c r="AB57" s="1477"/>
      <c r="AC57" s="1477"/>
      <c r="AD57" s="1477"/>
      <c r="AE57" s="1477"/>
      <c r="AF57" s="1477"/>
      <c r="AG57" s="1478"/>
      <c r="AH57" s="648">
        <f>COUNTIF(C60:AG60,AI57)</f>
        <v>0</v>
      </c>
      <c r="AI57" s="629" t="s">
        <v>360</v>
      </c>
      <c r="AJ57" s="13">
        <v>41</v>
      </c>
      <c r="AL57" s="23"/>
      <c r="AM57" s="31"/>
      <c r="AN57" s="31"/>
      <c r="AO57" s="635">
        <f>Absences2681012149[[#This Row],[debut]]</f>
        <v>0</v>
      </c>
      <c r="AP57" s="13"/>
      <c r="AQ57" s="13"/>
      <c r="AR57" s="13"/>
      <c r="AS57" s="13"/>
      <c r="AT57" s="13"/>
      <c r="AU57" s="94" t="s">
        <v>100</v>
      </c>
      <c r="AV57" s="50">
        <v>0.33333333333333331</v>
      </c>
      <c r="AW57" s="50">
        <v>0.625</v>
      </c>
      <c r="AX57" s="51">
        <v>1</v>
      </c>
      <c r="AY57" s="52">
        <f>IF(AW57-AV57=0,0,(AW57-AV57)-(AX57*TIMEVALUE("00:30")))</f>
        <v>0.27083333333333337</v>
      </c>
      <c r="AZ57" s="53" t="s">
        <v>124</v>
      </c>
      <c r="BA57" s="54"/>
      <c r="BB57" s="55"/>
      <c r="BC57" s="56"/>
      <c r="BD57" s="56"/>
      <c r="BE57" s="56"/>
      <c r="BF57" s="56"/>
    </row>
    <row r="58" spans="1:75" x14ac:dyDescent="0.25">
      <c r="A58" s="654" t="s">
        <v>662</v>
      </c>
      <c r="B58" s="657">
        <f>COUNTIF(C60:AG60,A58)</f>
        <v>0</v>
      </c>
      <c r="C58" s="6">
        <f t="shared" ref="C58:AG58" si="36">IFERROR(DAY(C56),"")</f>
        <v>1</v>
      </c>
      <c r="D58" s="3">
        <f t="shared" si="36"/>
        <v>2</v>
      </c>
      <c r="E58" s="3">
        <f t="shared" si="36"/>
        <v>3</v>
      </c>
      <c r="F58" s="3">
        <f t="shared" si="36"/>
        <v>4</v>
      </c>
      <c r="G58" s="3">
        <f t="shared" si="36"/>
        <v>5</v>
      </c>
      <c r="H58" s="3">
        <f t="shared" si="36"/>
        <v>6</v>
      </c>
      <c r="I58" s="3">
        <f t="shared" si="36"/>
        <v>7</v>
      </c>
      <c r="J58" s="3">
        <f t="shared" si="36"/>
        <v>8</v>
      </c>
      <c r="K58" s="3">
        <f t="shared" si="36"/>
        <v>9</v>
      </c>
      <c r="L58" s="3">
        <f t="shared" si="36"/>
        <v>10</v>
      </c>
      <c r="M58" s="3">
        <f t="shared" si="36"/>
        <v>11</v>
      </c>
      <c r="N58" s="3">
        <f t="shared" si="36"/>
        <v>12</v>
      </c>
      <c r="O58" s="3">
        <f t="shared" si="36"/>
        <v>13</v>
      </c>
      <c r="P58" s="3">
        <f t="shared" si="36"/>
        <v>14</v>
      </c>
      <c r="Q58" s="3">
        <f t="shared" si="36"/>
        <v>15</v>
      </c>
      <c r="R58" s="3">
        <f t="shared" si="36"/>
        <v>16</v>
      </c>
      <c r="S58" s="3">
        <f t="shared" si="36"/>
        <v>17</v>
      </c>
      <c r="T58" s="3">
        <f t="shared" si="36"/>
        <v>18</v>
      </c>
      <c r="U58" s="3">
        <f t="shared" si="36"/>
        <v>19</v>
      </c>
      <c r="V58" s="3">
        <f t="shared" si="36"/>
        <v>20</v>
      </c>
      <c r="W58" s="3">
        <f t="shared" si="36"/>
        <v>21</v>
      </c>
      <c r="X58" s="3">
        <f t="shared" si="36"/>
        <v>22</v>
      </c>
      <c r="Y58" s="3">
        <f t="shared" si="36"/>
        <v>23</v>
      </c>
      <c r="Z58" s="3">
        <f t="shared" si="36"/>
        <v>24</v>
      </c>
      <c r="AA58" s="3">
        <f t="shared" si="36"/>
        <v>25</v>
      </c>
      <c r="AB58" s="3">
        <f t="shared" si="36"/>
        <v>26</v>
      </c>
      <c r="AC58" s="3">
        <f t="shared" si="36"/>
        <v>27</v>
      </c>
      <c r="AD58" s="3">
        <f t="shared" si="36"/>
        <v>28</v>
      </c>
      <c r="AE58" s="3">
        <f t="shared" si="36"/>
        <v>29</v>
      </c>
      <c r="AF58" s="3">
        <f t="shared" si="36"/>
        <v>30</v>
      </c>
      <c r="AG58" s="7" t="str">
        <f t="shared" si="36"/>
        <v/>
      </c>
      <c r="AH58" s="648">
        <f>COUNTIF(C60:AG60,AI58)</f>
        <v>0</v>
      </c>
      <c r="AI58" s="10" t="s">
        <v>6</v>
      </c>
      <c r="AJ58" s="13">
        <v>42</v>
      </c>
      <c r="AL58" s="23"/>
      <c r="AM58" s="31"/>
      <c r="AN58" s="31"/>
      <c r="AO58" s="635">
        <f>Absences2681012149[[#This Row],[debut]]</f>
        <v>0</v>
      </c>
      <c r="AP58" s="13"/>
      <c r="AQ58" s="13"/>
      <c r="AR58" s="13"/>
      <c r="AS58" s="13"/>
      <c r="AT58" s="13"/>
      <c r="AU58" s="13"/>
      <c r="AV58" s="13"/>
      <c r="AW58" s="13"/>
      <c r="AX58" s="13"/>
      <c r="AY58" s="13"/>
      <c r="AZ58" s="13"/>
      <c r="BA58" s="13"/>
      <c r="BB58" s="13"/>
      <c r="BC58" s="13"/>
      <c r="BD58" s="13"/>
      <c r="BE58" s="13"/>
      <c r="BF58" s="13"/>
    </row>
    <row r="59" spans="1:75" x14ac:dyDescent="0.25">
      <c r="A59" s="655" t="s">
        <v>800</v>
      </c>
      <c r="B59" s="658">
        <f>COUNTIF(C60:AG60,A59)</f>
        <v>0</v>
      </c>
      <c r="C59" s="5">
        <f t="shared" ref="C59:AC59" si="37">IF(C56="","",WEEKDAY(C56,1))</f>
        <v>3</v>
      </c>
      <c r="D59" s="8">
        <f t="shared" si="37"/>
        <v>4</v>
      </c>
      <c r="E59" s="8">
        <f t="shared" si="37"/>
        <v>5</v>
      </c>
      <c r="F59" s="8">
        <f t="shared" si="37"/>
        <v>6</v>
      </c>
      <c r="G59" s="8">
        <f t="shared" si="37"/>
        <v>7</v>
      </c>
      <c r="H59" s="8">
        <f t="shared" si="37"/>
        <v>1</v>
      </c>
      <c r="I59" s="8">
        <f t="shared" si="37"/>
        <v>2</v>
      </c>
      <c r="J59" s="8">
        <f t="shared" si="37"/>
        <v>3</v>
      </c>
      <c r="K59" s="8">
        <f t="shared" si="37"/>
        <v>4</v>
      </c>
      <c r="L59" s="8">
        <f t="shared" si="37"/>
        <v>5</v>
      </c>
      <c r="M59" s="8">
        <f t="shared" si="37"/>
        <v>6</v>
      </c>
      <c r="N59" s="8">
        <f t="shared" si="37"/>
        <v>7</v>
      </c>
      <c r="O59" s="8">
        <f t="shared" si="37"/>
        <v>1</v>
      </c>
      <c r="P59" s="8">
        <f t="shared" si="37"/>
        <v>2</v>
      </c>
      <c r="Q59" s="8">
        <f t="shared" si="37"/>
        <v>3</v>
      </c>
      <c r="R59" s="8">
        <f t="shared" si="37"/>
        <v>4</v>
      </c>
      <c r="S59" s="8">
        <f t="shared" si="37"/>
        <v>5</v>
      </c>
      <c r="T59" s="8">
        <f t="shared" si="37"/>
        <v>6</v>
      </c>
      <c r="U59" s="8">
        <f t="shared" si="37"/>
        <v>7</v>
      </c>
      <c r="V59" s="8">
        <f t="shared" si="37"/>
        <v>1</v>
      </c>
      <c r="W59" s="8">
        <f t="shared" si="37"/>
        <v>2</v>
      </c>
      <c r="X59" s="8">
        <f t="shared" si="37"/>
        <v>3</v>
      </c>
      <c r="Y59" s="8">
        <f t="shared" si="37"/>
        <v>4</v>
      </c>
      <c r="Z59" s="8">
        <f t="shared" si="37"/>
        <v>5</v>
      </c>
      <c r="AA59" s="8">
        <f t="shared" si="37"/>
        <v>6</v>
      </c>
      <c r="AB59" s="8">
        <f t="shared" si="37"/>
        <v>7</v>
      </c>
      <c r="AC59" s="8">
        <f t="shared" si="37"/>
        <v>1</v>
      </c>
      <c r="AD59" s="8">
        <f>IF(AD56="","",WEEKDAY(AD56,1))</f>
        <v>2</v>
      </c>
      <c r="AE59" s="8">
        <f>IF(AE56="","",WEEKDAY(AE56,1))</f>
        <v>3</v>
      </c>
      <c r="AF59" s="8">
        <f t="shared" ref="AF59:AG59" si="38">IF(AF56="","",WEEKDAY(AF56,1))</f>
        <v>4</v>
      </c>
      <c r="AG59" s="9" t="str">
        <f t="shared" si="38"/>
        <v/>
      </c>
      <c r="AH59" s="648">
        <f>COUNTIF(C60:AG60,AI59)</f>
        <v>0</v>
      </c>
      <c r="AI59" s="633" t="s">
        <v>799</v>
      </c>
      <c r="AJ59" s="13">
        <v>43</v>
      </c>
      <c r="AL59" s="23"/>
      <c r="AM59" s="31"/>
      <c r="AN59" s="31"/>
      <c r="AO59" s="635">
        <f>Absences2681012149[[#This Row],[debut]]</f>
        <v>0</v>
      </c>
      <c r="AP59" s="13"/>
      <c r="AQ59" s="13"/>
      <c r="AR59" s="13"/>
      <c r="AS59" s="13"/>
      <c r="AT59" s="13"/>
      <c r="AU59" s="54"/>
      <c r="AV59" s="54"/>
      <c r="AW59" s="72"/>
      <c r="AX59" s="56"/>
      <c r="AY59" s="54"/>
      <c r="AZ59" s="54"/>
      <c r="BA59" s="54"/>
      <c r="BB59" s="55"/>
      <c r="BC59" s="56"/>
      <c r="BD59" s="56"/>
      <c r="BE59" s="56"/>
      <c r="BF59" s="56"/>
    </row>
    <row r="60" spans="1:75" ht="16.5" thickBot="1" x14ac:dyDescent="0.3">
      <c r="A60" s="679" t="s">
        <v>7</v>
      </c>
      <c r="B60" s="658">
        <f>COUNTIF(C60:AG60,A60)</f>
        <v>0</v>
      </c>
      <c r="C60" s="693" t="str">
        <f t="array" ref="C60">IF(OR(C59=1,C59=7),"",IFERROR(INDEX($AK$17:$AN$116,MATCH(1,(C56&gt;=$AM$17:$AM$116)*($AN$17:$AN$116&gt;=C56)*($AK$17:$AK$116=$U$2),0),2),""))</f>
        <v/>
      </c>
      <c r="D60" s="694" t="str">
        <f t="array" ref="D60">IF(OR(D59=1,D59=7),"",IFERROR(INDEX($AK$17:$AN$116,MATCH(1,(D56&gt;=$AM$17:$AM$116)*($AN$17:$AN$116&gt;=D56)*($AK$17:$AK$116=$U$2),0),2),""))</f>
        <v/>
      </c>
      <c r="E60" s="694" t="str">
        <f t="array" ref="E60">IF(OR(E59=1,E59=7),"",IFERROR(INDEX($AK$17:$AN$116,MATCH(1,(E56&gt;=$AM$17:$AM$116)*($AN$17:$AN$116&gt;=E56)*($AK$17:$AK$116=$U$2),0),2),""))</f>
        <v/>
      </c>
      <c r="F60" s="694" t="str">
        <f t="array" ref="F60">IF(OR(F59=1,F59=7),"",IFERROR(INDEX($AK$17:$AN$116,MATCH(1,(F56&gt;=$AM$17:$AM$116)*($AN$17:$AN$116&gt;=F56)*($AK$17:$AK$116=$U$2),0),2),""))</f>
        <v/>
      </c>
      <c r="G60" s="694" t="str">
        <f t="array" ref="G60">IF(OR(G59=1,G59=7),"",IFERROR(INDEX($AK$17:$AN$116,MATCH(1,(G56&gt;=$AM$17:$AM$116)*($AN$17:$AN$116&gt;=G56)*($AK$17:$AK$116=$U$2),0),2),""))</f>
        <v/>
      </c>
      <c r="H60" s="694" t="str">
        <f t="array" ref="H60">IF(OR(H59=1,H59=7),"",IFERROR(INDEX($AK$17:$AN$116,MATCH(1,(H56&gt;=$AM$17:$AM$116)*($AN$17:$AN$116&gt;=H56)*($AK$17:$AK$116=$U$2),0),2),""))</f>
        <v/>
      </c>
      <c r="I60" s="694" t="str">
        <f t="array" ref="I60">IF(OR(I59=1,I59=7),"",IFERROR(INDEX($AK$17:$AN$116,MATCH(1,(I56&gt;=$AM$17:$AM$116)*($AN$17:$AN$116&gt;=I56)*($AK$17:$AK$116=$U$2),0),2),""))</f>
        <v/>
      </c>
      <c r="J60" s="694" t="str">
        <f t="array" ref="J60">IF(OR(J59=1,J59=7),"",IFERROR(INDEX($AK$17:$AN$116,MATCH(1,(J56&gt;=$AM$17:$AM$116)*($AN$17:$AN$116&gt;=J56)*($AK$17:$AK$116=$U$2),0),2),""))</f>
        <v/>
      </c>
      <c r="K60" s="694" t="str">
        <f t="array" ref="K60">IF(OR(K59=1,K59=7),"",IFERROR(INDEX($AK$17:$AN$116,MATCH(1,(K56&gt;=$AM$17:$AM$116)*($AN$17:$AN$116&gt;=K56)*($AK$17:$AK$116=$U$2),0),2),""))</f>
        <v/>
      </c>
      <c r="L60" s="694" t="str">
        <f t="array" ref="L60">IF(OR(L59=1,L59=7),"",IFERROR(INDEX($AK$17:$AN$116,MATCH(1,(L56&gt;=$AM$17:$AM$116)*($AN$17:$AN$116&gt;=L56)*($AK$17:$AK$116=$U$2),0),2),""))</f>
        <v/>
      </c>
      <c r="M60" s="694" t="str">
        <f t="array" ref="M60">IF(OR(M59=1,M59=7),"",IFERROR(INDEX($AK$17:$AN$116,MATCH(1,(M56&gt;=$AM$17:$AM$116)*($AN$17:$AN$116&gt;=M56)*($AK$17:$AK$116=$U$2),0),2),""))</f>
        <v/>
      </c>
      <c r="N60" s="694" t="str">
        <f t="array" ref="N60">IF(OR(N59=1,N59=7),"",IFERROR(INDEX($AK$17:$AN$116,MATCH(1,(N56&gt;=$AM$17:$AM$116)*($AN$17:$AN$116&gt;=N56)*($AK$17:$AK$116=$U$2),0),2),""))</f>
        <v/>
      </c>
      <c r="O60" s="694" t="str">
        <f t="array" ref="O60">IF(OR(O59=1,O59=7),"",IFERROR(INDEX($AK$17:$AN$116,MATCH(1,(O56&gt;=$AM$17:$AM$116)*($AN$17:$AN$116&gt;=O56)*($AK$17:$AK$116=$U$2),0),2),""))</f>
        <v/>
      </c>
      <c r="P60" s="694" t="str">
        <f t="array" ref="P60">IF(OR(P59=1,P59=7),"",IFERROR(INDEX($AK$17:$AN$116,MATCH(1,(P56&gt;=$AM$17:$AM$116)*($AN$17:$AN$116&gt;=P56)*($AK$17:$AK$116=$U$2),0),2),""))</f>
        <v/>
      </c>
      <c r="Q60" s="694" t="str">
        <f t="array" ref="Q60">IF(OR(Q59=1,Q59=7),"",IFERROR(INDEX($AK$17:$AN$116,MATCH(1,(Q56&gt;=$AM$17:$AM$116)*($AN$17:$AN$116&gt;=Q56)*($AK$17:$AK$116=$U$2),0),2),""))</f>
        <v/>
      </c>
      <c r="R60" s="694" t="str">
        <f t="array" ref="R60">IF(OR(R59=1,R59=7),"",IFERROR(INDEX($AK$17:$AN$116,MATCH(1,(R56&gt;=$AM$17:$AM$116)*($AN$17:$AN$116&gt;=R56)*($AK$17:$AK$116=$U$2),0),2),""))</f>
        <v/>
      </c>
      <c r="S60" s="694" t="str">
        <f t="array" ref="S60">IF(OR(S59=1,S59=7),"",IFERROR(INDEX($AK$17:$AN$116,MATCH(1,(S56&gt;=$AM$17:$AM$116)*($AN$17:$AN$116&gt;=S56)*($AK$17:$AK$116=$U$2),0),2),""))</f>
        <v/>
      </c>
      <c r="T60" s="694" t="str">
        <f t="array" ref="T60">IF(OR(T59=1,T59=7),"",IFERROR(INDEX($AK$17:$AN$116,MATCH(1,(T56&gt;=$AM$17:$AM$116)*($AN$17:$AN$116&gt;=T56)*($AK$17:$AK$116=$U$2),0),2),""))</f>
        <v/>
      </c>
      <c r="U60" s="694" t="str">
        <f t="array" ref="U60">IF(OR(U59=1,U59=7),"",IFERROR(INDEX($AK$17:$AN$116,MATCH(1,(U56&gt;=$AM$17:$AM$116)*($AN$17:$AN$116&gt;=U56)*($AK$17:$AK$116=$U$2),0),2),""))</f>
        <v/>
      </c>
      <c r="V60" s="694" t="str">
        <f t="array" ref="V60">IF(OR(V59=1,V59=7),"",IFERROR(INDEX($AK$17:$AN$116,MATCH(1,(V56&gt;=$AM$17:$AM$116)*($AN$17:$AN$116&gt;=V56)*($AK$17:$AK$116=$U$2),0),2),""))</f>
        <v/>
      </c>
      <c r="W60" s="694" t="str">
        <f t="array" ref="W60">IF(OR(W59=1,W59=7),"",IFERROR(INDEX($AK$17:$AN$116,MATCH(1,(W56&gt;=$AM$17:$AM$116)*($AN$17:$AN$116&gt;=W56)*($AK$17:$AK$116=$U$2),0),2),""))</f>
        <v/>
      </c>
      <c r="X60" s="694" t="str">
        <f t="array" ref="X60">IF(OR(X59=1,X59=7),"",IFERROR(INDEX($AK$17:$AN$116,MATCH(1,(X56&gt;=$AM$17:$AM$116)*($AN$17:$AN$116&gt;=X56)*($AK$17:$AK$116=$U$2),0),2),""))</f>
        <v/>
      </c>
      <c r="Y60" s="694" t="str">
        <f t="array" ref="Y60">IF(OR(Y59=1,Y59=7),"",IFERROR(INDEX($AK$17:$AN$116,MATCH(1,(Y56&gt;=$AM$17:$AM$116)*($AN$17:$AN$116&gt;=Y56)*($AK$17:$AK$116=$U$2),0),2),""))</f>
        <v/>
      </c>
      <c r="Z60" s="694" t="str">
        <f t="array" ref="Z60">IF(OR(Z59=1,Z59=7),"",IFERROR(INDEX($AK$17:$AN$116,MATCH(1,(Z56&gt;=$AM$17:$AM$116)*($AN$17:$AN$116&gt;=Z56)*($AK$17:$AK$116=$U$2),0),2),""))</f>
        <v/>
      </c>
      <c r="AA60" s="694" t="str">
        <f t="array" ref="AA60">IF(OR(AA59=1,AA59=7),"",IFERROR(INDEX($AK$17:$AN$116,MATCH(1,(AA56&gt;=$AM$17:$AM$116)*($AN$17:$AN$116&gt;=AA56)*($AK$17:$AK$116=$U$2),0),2),""))</f>
        <v/>
      </c>
      <c r="AB60" s="694" t="str">
        <f t="array" ref="AB60">IF(OR(AB59=1,AB59=7),"",IFERROR(INDEX($AK$17:$AN$116,MATCH(1,(AB56&gt;=$AM$17:$AM$116)*($AN$17:$AN$116&gt;=AB56)*($AK$17:$AK$116=$U$2),0),2),""))</f>
        <v/>
      </c>
      <c r="AC60" s="694" t="str">
        <f t="array" ref="AC60">IF(OR(AC59=1,AC59=7),"",IFERROR(INDEX($AK$17:$AN$116,MATCH(1,(AC56&gt;=$AM$17:$AM$116)*($AN$17:$AN$116&gt;=AC56)*($AK$17:$AK$116=$U$2),0),2),""))</f>
        <v/>
      </c>
      <c r="AD60" s="694" t="str">
        <f t="array" ref="AD60">IF(OR(AD59=1,AD59=7),"",IFERROR(INDEX($AK$17:$AN$116,MATCH(1,(AD56&gt;=$AM$17:$AM$116)*($AN$17:$AN$116&gt;=AD56)*($AK$17:$AK$116=$U$2),0),2),""))</f>
        <v/>
      </c>
      <c r="AE60" s="694" t="str">
        <f t="array" ref="AE60">IF(OR(AE59=1,AE59=7),"",IFERROR(INDEX($AK$17:$AN$116,MATCH(1,(AE56&gt;=$AM$17:$AM$116)*($AN$17:$AN$116&gt;=AE56)*($AK$17:$AK$116=$U$2),0),2),""))</f>
        <v/>
      </c>
      <c r="AF60" s="694" t="str">
        <f t="array" ref="AF60">IF(OR(AF59=1,AF59=7),"",IFERROR(INDEX($AK$17:$AN$116,MATCH(1,(AF56&gt;=$AM$17:$AM$116)*($AN$17:$AN$116&gt;=AF56)*($AK$17:$AK$116=$U$2),0),2),""))</f>
        <v/>
      </c>
      <c r="AG60" s="695" t="str">
        <f t="array" ref="AG60">IF(OR(AG59=1,AG59=7),"",IFERROR(INDEX($AK$17:$AN$116,MATCH(1,(AG56&gt;=$AM$17:$AM$116)*($AN$17:$AN$116&gt;=AG56)*($AK$17:$AK$116=$U$2),0),2),""))</f>
        <v/>
      </c>
      <c r="AH60" s="648">
        <f>COUNTIF(C60:AG60,AI60)</f>
        <v>0</v>
      </c>
      <c r="AI60" s="639" t="s">
        <v>362</v>
      </c>
      <c r="AJ60" s="13">
        <v>44</v>
      </c>
      <c r="AL60" s="23"/>
      <c r="AM60" s="31"/>
      <c r="AN60" s="31"/>
      <c r="AO60" s="635">
        <f>Absences2681012149[[#This Row],[debut]]</f>
        <v>0</v>
      </c>
      <c r="AP60" s="13"/>
      <c r="AQ60" s="13"/>
      <c r="AR60" s="13"/>
      <c r="AS60" s="13"/>
      <c r="AT60" s="13"/>
      <c r="AU60" s="94" t="s">
        <v>101</v>
      </c>
      <c r="AV60" s="50">
        <v>0.375</v>
      </c>
      <c r="AW60" s="50">
        <v>0.625</v>
      </c>
      <c r="AX60" s="51">
        <v>1</v>
      </c>
      <c r="AY60" s="52">
        <f>IF(AW60-AV60=0,0,(AW60-AV60)-(AX60*TIMEVALUE("00:30")))</f>
        <v>0.22916666666666666</v>
      </c>
      <c r="AZ60" s="53" t="s">
        <v>125</v>
      </c>
      <c r="BA60" s="54"/>
      <c r="BB60" s="55"/>
      <c r="BC60" s="56"/>
      <c r="BD60" s="56"/>
      <c r="BE60" s="56"/>
      <c r="BF60" s="56"/>
    </row>
    <row r="61" spans="1:75" ht="16.5" customHeight="1" thickBot="1" x14ac:dyDescent="0.3">
      <c r="A61" s="678"/>
      <c r="B61" s="40">
        <f>COUNTIF(C61:AG61,"T")</f>
        <v>0</v>
      </c>
      <c r="C61" s="41"/>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677"/>
      <c r="AI61" s="678"/>
      <c r="AJ61" s="13">
        <v>45</v>
      </c>
      <c r="AL61" s="23"/>
      <c r="AM61" s="31"/>
      <c r="AN61" s="31"/>
      <c r="AO61" s="635">
        <f>Absences2681012149[[#This Row],[debut]]</f>
        <v>0</v>
      </c>
      <c r="AP61" s="13"/>
      <c r="AQ61" s="13"/>
      <c r="AR61" s="13"/>
      <c r="AS61" s="13"/>
      <c r="AT61" s="13"/>
      <c r="AU61" s="13"/>
      <c r="AV61" s="13"/>
      <c r="AW61" s="13"/>
      <c r="AX61" s="13"/>
      <c r="AY61" s="13"/>
      <c r="AZ61" s="13"/>
      <c r="BA61" s="13"/>
      <c r="BB61" s="13"/>
      <c r="BC61" s="13"/>
      <c r="BD61" s="13"/>
      <c r="BE61" s="13"/>
      <c r="BF61" s="13"/>
    </row>
    <row r="62" spans="1:75" ht="14.25" customHeight="1" x14ac:dyDescent="0.25">
      <c r="A62" s="651"/>
      <c r="B62" s="20">
        <f>DATE($C$2,MONTH(1&amp;"/"&amp;C63),1)</f>
        <v>44105</v>
      </c>
      <c r="C62" s="14">
        <f>B62</f>
        <v>44105</v>
      </c>
      <c r="D62" s="14">
        <f>IFERROR(IF(C62+1&gt;$B$63,"",C62+1),"")</f>
        <v>44106</v>
      </c>
      <c r="E62" s="14">
        <f t="shared" ref="E62:AG62" si="39">IFERROR(IF(D62+1&gt;$B$63,"",D62+1),"")</f>
        <v>44107</v>
      </c>
      <c r="F62" s="14">
        <f t="shared" si="39"/>
        <v>44108</v>
      </c>
      <c r="G62" s="14">
        <f t="shared" si="39"/>
        <v>44109</v>
      </c>
      <c r="H62" s="14">
        <f t="shared" si="39"/>
        <v>44110</v>
      </c>
      <c r="I62" s="14">
        <f t="shared" si="39"/>
        <v>44111</v>
      </c>
      <c r="J62" s="14">
        <f t="shared" si="39"/>
        <v>44112</v>
      </c>
      <c r="K62" s="14">
        <f t="shared" si="39"/>
        <v>44113</v>
      </c>
      <c r="L62" s="14">
        <f t="shared" si="39"/>
        <v>44114</v>
      </c>
      <c r="M62" s="14">
        <f t="shared" si="39"/>
        <v>44115</v>
      </c>
      <c r="N62" s="14">
        <f t="shared" si="39"/>
        <v>44116</v>
      </c>
      <c r="O62" s="14">
        <f t="shared" si="39"/>
        <v>44117</v>
      </c>
      <c r="P62" s="14">
        <f t="shared" si="39"/>
        <v>44118</v>
      </c>
      <c r="Q62" s="14">
        <f t="shared" si="39"/>
        <v>44119</v>
      </c>
      <c r="R62" s="14">
        <f t="shared" si="39"/>
        <v>44120</v>
      </c>
      <c r="S62" s="14">
        <f t="shared" si="39"/>
        <v>44121</v>
      </c>
      <c r="T62" s="14">
        <f t="shared" si="39"/>
        <v>44122</v>
      </c>
      <c r="U62" s="14">
        <f t="shared" si="39"/>
        <v>44123</v>
      </c>
      <c r="V62" s="14">
        <f t="shared" si="39"/>
        <v>44124</v>
      </c>
      <c r="W62" s="14">
        <f t="shared" si="39"/>
        <v>44125</v>
      </c>
      <c r="X62" s="14">
        <f t="shared" si="39"/>
        <v>44126</v>
      </c>
      <c r="Y62" s="14">
        <f t="shared" si="39"/>
        <v>44127</v>
      </c>
      <c r="Z62" s="14">
        <f t="shared" si="39"/>
        <v>44128</v>
      </c>
      <c r="AA62" s="14">
        <f t="shared" si="39"/>
        <v>44129</v>
      </c>
      <c r="AB62" s="14">
        <f t="shared" si="39"/>
        <v>44130</v>
      </c>
      <c r="AC62" s="14">
        <f t="shared" si="39"/>
        <v>44131</v>
      </c>
      <c r="AD62" s="14">
        <f t="shared" si="39"/>
        <v>44132</v>
      </c>
      <c r="AE62" s="14">
        <f t="shared" si="39"/>
        <v>44133</v>
      </c>
      <c r="AF62" s="14">
        <f t="shared" si="39"/>
        <v>44134</v>
      </c>
      <c r="AG62" s="14">
        <f t="shared" si="39"/>
        <v>44135</v>
      </c>
      <c r="AH62" s="647">
        <f>COUNTIF(C66:AG66,AI62)</f>
        <v>0</v>
      </c>
      <c r="AI62" s="640" t="s">
        <v>8</v>
      </c>
      <c r="AJ62" s="13">
        <v>46</v>
      </c>
      <c r="AL62" s="23"/>
      <c r="AM62" s="31"/>
      <c r="AN62" s="31"/>
      <c r="AO62" s="635">
        <f>Absences2681012149[[#This Row],[debut]]</f>
        <v>0</v>
      </c>
      <c r="AP62" s="13"/>
      <c r="AQ62" s="13"/>
      <c r="AR62" s="45"/>
      <c r="AS62" s="45"/>
      <c r="AT62" s="45"/>
      <c r="AU62" s="54"/>
      <c r="AV62" s="54"/>
      <c r="AW62" s="72"/>
      <c r="AX62" s="56"/>
      <c r="AY62" s="54"/>
      <c r="AZ62" s="54"/>
      <c r="BA62" s="54"/>
      <c r="BB62" s="55"/>
      <c r="BC62" s="56"/>
      <c r="BD62" s="56"/>
      <c r="BE62" s="56"/>
      <c r="BF62" s="56"/>
    </row>
    <row r="63" spans="1:75" ht="19.5" thickBot="1" x14ac:dyDescent="0.3">
      <c r="A63" s="652"/>
      <c r="B63" s="21">
        <f>EOMONTH(B62,0)</f>
        <v>44135</v>
      </c>
      <c r="C63" s="1476" t="s">
        <v>44</v>
      </c>
      <c r="D63" s="1477"/>
      <c r="E63" s="1477"/>
      <c r="F63" s="1477"/>
      <c r="G63" s="1477"/>
      <c r="H63" s="1477"/>
      <c r="I63" s="1477"/>
      <c r="J63" s="1477"/>
      <c r="K63" s="1477"/>
      <c r="L63" s="1477"/>
      <c r="M63" s="1477"/>
      <c r="N63" s="1477"/>
      <c r="O63" s="1477"/>
      <c r="P63" s="1477"/>
      <c r="Q63" s="1477"/>
      <c r="R63" s="1477"/>
      <c r="S63" s="1477"/>
      <c r="T63" s="1477"/>
      <c r="U63" s="1477"/>
      <c r="V63" s="1477"/>
      <c r="W63" s="1477"/>
      <c r="X63" s="1477"/>
      <c r="Y63" s="1477"/>
      <c r="Z63" s="1477"/>
      <c r="AA63" s="1477"/>
      <c r="AB63" s="1477"/>
      <c r="AC63" s="1477"/>
      <c r="AD63" s="1477"/>
      <c r="AE63" s="1477"/>
      <c r="AF63" s="1477"/>
      <c r="AG63" s="1478"/>
      <c r="AH63" s="648">
        <f>COUNTIF(C66:AG66,AI63)</f>
        <v>0</v>
      </c>
      <c r="AI63" s="629" t="s">
        <v>360</v>
      </c>
      <c r="AJ63" s="13">
        <v>47</v>
      </c>
      <c r="AL63" s="23"/>
      <c r="AM63" s="31"/>
      <c r="AN63" s="31"/>
      <c r="AO63" s="635">
        <f>Absences2681012149[[#This Row],[debut]]</f>
        <v>0</v>
      </c>
      <c r="AP63" s="13"/>
      <c r="AQ63" s="13"/>
      <c r="AR63" s="13"/>
      <c r="AS63" s="13"/>
      <c r="AT63" s="13"/>
      <c r="AU63" s="94" t="s">
        <v>102</v>
      </c>
      <c r="AV63" s="50">
        <v>0.58333333333333337</v>
      </c>
      <c r="AW63" s="50">
        <v>0.75</v>
      </c>
      <c r="AX63" s="51">
        <v>0</v>
      </c>
      <c r="AY63" s="52">
        <f>IF(AW63-AV63=0,0,(AW63-AV63)-(AX63*TIMEVALUE("00:30")))</f>
        <v>0.16666666666666663</v>
      </c>
      <c r="AZ63" s="53" t="s">
        <v>132</v>
      </c>
      <c r="BA63" s="54"/>
      <c r="BB63" s="55"/>
      <c r="BC63" s="56"/>
      <c r="BD63" s="56"/>
      <c r="BE63" s="56"/>
      <c r="BF63" s="56"/>
    </row>
    <row r="64" spans="1:75" x14ac:dyDescent="0.25">
      <c r="A64" s="654" t="s">
        <v>662</v>
      </c>
      <c r="B64" s="657">
        <f>COUNTIF(C66:AG66,A64)</f>
        <v>0</v>
      </c>
      <c r="C64" s="38">
        <f t="shared" ref="C64:AG64" si="40">IFERROR(DAY(C62),"")</f>
        <v>1</v>
      </c>
      <c r="D64" s="3">
        <f t="shared" si="40"/>
        <v>2</v>
      </c>
      <c r="E64" s="3">
        <f t="shared" si="40"/>
        <v>3</v>
      </c>
      <c r="F64" s="3">
        <f t="shared" si="40"/>
        <v>4</v>
      </c>
      <c r="G64" s="3">
        <f t="shared" si="40"/>
        <v>5</v>
      </c>
      <c r="H64" s="3">
        <f t="shared" si="40"/>
        <v>6</v>
      </c>
      <c r="I64" s="3">
        <f t="shared" si="40"/>
        <v>7</v>
      </c>
      <c r="J64" s="3">
        <f t="shared" si="40"/>
        <v>8</v>
      </c>
      <c r="K64" s="3">
        <f t="shared" si="40"/>
        <v>9</v>
      </c>
      <c r="L64" s="3">
        <f t="shared" si="40"/>
        <v>10</v>
      </c>
      <c r="M64" s="3">
        <f t="shared" si="40"/>
        <v>11</v>
      </c>
      <c r="N64" s="3">
        <f t="shared" si="40"/>
        <v>12</v>
      </c>
      <c r="O64" s="3">
        <f t="shared" si="40"/>
        <v>13</v>
      </c>
      <c r="P64" s="3">
        <f t="shared" si="40"/>
        <v>14</v>
      </c>
      <c r="Q64" s="3">
        <f t="shared" si="40"/>
        <v>15</v>
      </c>
      <c r="R64" s="3">
        <f t="shared" si="40"/>
        <v>16</v>
      </c>
      <c r="S64" s="3">
        <f t="shared" si="40"/>
        <v>17</v>
      </c>
      <c r="T64" s="3">
        <f t="shared" si="40"/>
        <v>18</v>
      </c>
      <c r="U64" s="3">
        <f t="shared" si="40"/>
        <v>19</v>
      </c>
      <c r="V64" s="3">
        <f t="shared" si="40"/>
        <v>20</v>
      </c>
      <c r="W64" s="3">
        <f t="shared" si="40"/>
        <v>21</v>
      </c>
      <c r="X64" s="3">
        <f t="shared" si="40"/>
        <v>22</v>
      </c>
      <c r="Y64" s="3">
        <f t="shared" si="40"/>
        <v>23</v>
      </c>
      <c r="Z64" s="3">
        <f t="shared" si="40"/>
        <v>24</v>
      </c>
      <c r="AA64" s="3">
        <f t="shared" si="40"/>
        <v>25</v>
      </c>
      <c r="AB64" s="3">
        <f t="shared" si="40"/>
        <v>26</v>
      </c>
      <c r="AC64" s="3">
        <f t="shared" si="40"/>
        <v>27</v>
      </c>
      <c r="AD64" s="3">
        <f t="shared" si="40"/>
        <v>28</v>
      </c>
      <c r="AE64" s="3">
        <f t="shared" si="40"/>
        <v>29</v>
      </c>
      <c r="AF64" s="3">
        <f t="shared" si="40"/>
        <v>30</v>
      </c>
      <c r="AG64" s="7">
        <f t="shared" si="40"/>
        <v>31</v>
      </c>
      <c r="AH64" s="648">
        <f>COUNTIF(C66:AG66,AI64)</f>
        <v>0</v>
      </c>
      <c r="AI64" s="10" t="s">
        <v>6</v>
      </c>
      <c r="AJ64" s="13">
        <v>48</v>
      </c>
      <c r="AL64" s="23"/>
      <c r="AM64" s="31"/>
      <c r="AN64" s="31"/>
      <c r="AO64" s="635">
        <f>Absences2681012149[[#This Row],[debut]]</f>
        <v>0</v>
      </c>
      <c r="AP64" s="13"/>
      <c r="AQ64" s="13"/>
      <c r="AR64" s="13"/>
      <c r="AS64" s="13"/>
      <c r="AT64" s="13"/>
      <c r="AU64" s="57"/>
      <c r="AV64" s="57"/>
      <c r="AW64" s="69"/>
      <c r="AY64" s="54"/>
      <c r="AZ64" s="54"/>
      <c r="BA64" s="54"/>
      <c r="BB64" s="55"/>
      <c r="BC64" s="56"/>
      <c r="BD64" s="56"/>
      <c r="BE64" s="56"/>
      <c r="BF64" s="56"/>
    </row>
    <row r="65" spans="1:58" ht="16.5" thickBot="1" x14ac:dyDescent="0.3">
      <c r="A65" s="655" t="s">
        <v>800</v>
      </c>
      <c r="B65" s="658">
        <f>COUNTIF(C66:AG66,A65)</f>
        <v>0</v>
      </c>
      <c r="C65" s="39">
        <f t="shared" ref="C65:AC65" si="41">IF(C62="","",WEEKDAY(C62,1))</f>
        <v>5</v>
      </c>
      <c r="D65" s="8">
        <f t="shared" si="41"/>
        <v>6</v>
      </c>
      <c r="E65" s="8">
        <f t="shared" si="41"/>
        <v>7</v>
      </c>
      <c r="F65" s="8">
        <f t="shared" si="41"/>
        <v>1</v>
      </c>
      <c r="G65" s="8">
        <f t="shared" si="41"/>
        <v>2</v>
      </c>
      <c r="H65" s="8">
        <f t="shared" si="41"/>
        <v>3</v>
      </c>
      <c r="I65" s="8">
        <f t="shared" si="41"/>
        <v>4</v>
      </c>
      <c r="J65" s="8">
        <f t="shared" si="41"/>
        <v>5</v>
      </c>
      <c r="K65" s="8">
        <f t="shared" si="41"/>
        <v>6</v>
      </c>
      <c r="L65" s="8">
        <f t="shared" si="41"/>
        <v>7</v>
      </c>
      <c r="M65" s="8">
        <f t="shared" si="41"/>
        <v>1</v>
      </c>
      <c r="N65" s="8">
        <f t="shared" si="41"/>
        <v>2</v>
      </c>
      <c r="O65" s="8">
        <f t="shared" si="41"/>
        <v>3</v>
      </c>
      <c r="P65" s="8">
        <f t="shared" si="41"/>
        <v>4</v>
      </c>
      <c r="Q65" s="8">
        <f t="shared" si="41"/>
        <v>5</v>
      </c>
      <c r="R65" s="8">
        <f t="shared" si="41"/>
        <v>6</v>
      </c>
      <c r="S65" s="8">
        <f t="shared" si="41"/>
        <v>7</v>
      </c>
      <c r="T65" s="8">
        <f t="shared" si="41"/>
        <v>1</v>
      </c>
      <c r="U65" s="8">
        <f t="shared" si="41"/>
        <v>2</v>
      </c>
      <c r="V65" s="8">
        <f t="shared" si="41"/>
        <v>3</v>
      </c>
      <c r="W65" s="8">
        <f t="shared" si="41"/>
        <v>4</v>
      </c>
      <c r="X65" s="8">
        <f t="shared" si="41"/>
        <v>5</v>
      </c>
      <c r="Y65" s="8">
        <f t="shared" si="41"/>
        <v>6</v>
      </c>
      <c r="Z65" s="8">
        <f t="shared" si="41"/>
        <v>7</v>
      </c>
      <c r="AA65" s="8">
        <f t="shared" si="41"/>
        <v>1</v>
      </c>
      <c r="AB65" s="8">
        <f t="shared" si="41"/>
        <v>2</v>
      </c>
      <c r="AC65" s="8">
        <f t="shared" si="41"/>
        <v>3</v>
      </c>
      <c r="AD65" s="8">
        <f>IF(AD62="","",WEEKDAY(AD62,1))</f>
        <v>4</v>
      </c>
      <c r="AE65" s="8">
        <f>IF(AE62="","",WEEKDAY(AE62,1))</f>
        <v>5</v>
      </c>
      <c r="AF65" s="8">
        <f t="shared" ref="AF65:AG65" si="42">IF(AF62="","",WEEKDAY(AF62,1))</f>
        <v>6</v>
      </c>
      <c r="AG65" s="9">
        <f t="shared" si="42"/>
        <v>7</v>
      </c>
      <c r="AH65" s="648">
        <f>COUNTIF(C66:AG66,AI65)</f>
        <v>0</v>
      </c>
      <c r="AI65" s="633" t="s">
        <v>799</v>
      </c>
      <c r="AJ65" s="13">
        <v>49</v>
      </c>
      <c r="AL65" s="23"/>
      <c r="AM65" s="31"/>
      <c r="AN65" s="31"/>
      <c r="AO65" s="635">
        <f>Absences2681012149[[#This Row],[debut]]</f>
        <v>0</v>
      </c>
      <c r="AP65" s="13"/>
      <c r="AQ65" s="13"/>
      <c r="AR65" s="13"/>
      <c r="AS65" s="13"/>
      <c r="AT65" s="13"/>
      <c r="AU65" s="94" t="s">
        <v>103</v>
      </c>
      <c r="AV65" s="50">
        <v>0.58333333333333337</v>
      </c>
      <c r="AW65" s="50">
        <v>0.75</v>
      </c>
      <c r="AX65" s="51">
        <v>0</v>
      </c>
      <c r="AY65" s="52">
        <f>IF(AW65-AV65=0,0,(AW65-AV65)-(AX65*TIMEVALUE("00:30")))</f>
        <v>0.16666666666666663</v>
      </c>
      <c r="AZ65" s="53" t="s">
        <v>133</v>
      </c>
      <c r="BA65" s="54"/>
      <c r="BB65" s="55"/>
      <c r="BC65" s="56"/>
      <c r="BD65" s="56"/>
      <c r="BE65" s="56"/>
      <c r="BF65" s="56"/>
    </row>
    <row r="66" spans="1:58" x14ac:dyDescent="0.25">
      <c r="A66" s="679" t="s">
        <v>7</v>
      </c>
      <c r="B66" s="658">
        <f>COUNTIF(C66:AG66,A66)</f>
        <v>0</v>
      </c>
      <c r="C66" s="693" t="str">
        <f t="array" ref="C66">IF(OR(C65=1,C65=7),"",IFERROR(INDEX($AK$17:$AN$116,MATCH(1,(C62&gt;=$AM$17:$AM$116)*($AN$17:$AN$116&gt;=C62)*($AK$17:$AK$116=$U$2),0),2),""))</f>
        <v/>
      </c>
      <c r="D66" s="694" t="str">
        <f t="array" ref="D66">IF(OR(D65=1,D65=7),"",IFERROR(INDEX($AK$17:$AN$116,MATCH(1,(D62&gt;=$AM$17:$AM$116)*($AN$17:$AN$116&gt;=D62)*($AK$17:$AK$116=$U$2),0),2),""))</f>
        <v/>
      </c>
      <c r="E66" s="694" t="str">
        <f t="array" ref="E66">IF(OR(E65=1,E65=7),"",IFERROR(INDEX($AK$17:$AN$116,MATCH(1,(E62&gt;=$AM$17:$AM$116)*($AN$17:$AN$116&gt;=E62)*($AK$17:$AK$116=$U$2),0),2),""))</f>
        <v/>
      </c>
      <c r="F66" s="694" t="str">
        <f t="array" ref="F66">IF(OR(F65=1,F65=7),"",IFERROR(INDEX($AK$17:$AN$116,MATCH(1,(F62&gt;=$AM$17:$AM$116)*($AN$17:$AN$116&gt;=F62)*($AK$17:$AK$116=$U$2),0),2),""))</f>
        <v/>
      </c>
      <c r="G66" s="694" t="str">
        <f t="array" ref="G66">IF(OR(G65=1,G65=7),"",IFERROR(INDEX($AK$17:$AN$116,MATCH(1,(G62&gt;=$AM$17:$AM$116)*($AN$17:$AN$116&gt;=G62)*($AK$17:$AK$116=$U$2),0),2),""))</f>
        <v/>
      </c>
      <c r="H66" s="694" t="str">
        <f t="array" ref="H66">IF(OR(H65=1,H65=7),"",IFERROR(INDEX($AK$17:$AN$116,MATCH(1,(H62&gt;=$AM$17:$AM$116)*($AN$17:$AN$116&gt;=H62)*($AK$17:$AK$116=$U$2),0),2),""))</f>
        <v/>
      </c>
      <c r="I66" s="694" t="str">
        <f t="array" ref="I66">IF(OR(I65=1,I65=7),"",IFERROR(INDEX($AK$17:$AN$116,MATCH(1,(I62&gt;=$AM$17:$AM$116)*($AN$17:$AN$116&gt;=I62)*($AK$17:$AK$116=$U$2),0),2),""))</f>
        <v/>
      </c>
      <c r="J66" s="694" t="str">
        <f t="array" ref="J66">IF(OR(J65=1,J65=7),"",IFERROR(INDEX($AK$17:$AN$116,MATCH(1,(J62&gt;=$AM$17:$AM$116)*($AN$17:$AN$116&gt;=J62)*($AK$17:$AK$116=$U$2),0),2),""))</f>
        <v/>
      </c>
      <c r="K66" s="694" t="str">
        <f t="array" ref="K66">IF(OR(K65=1,K65=7),"",IFERROR(INDEX($AK$17:$AN$116,MATCH(1,(K62&gt;=$AM$17:$AM$116)*($AN$17:$AN$116&gt;=K62)*($AK$17:$AK$116=$U$2),0),2),""))</f>
        <v/>
      </c>
      <c r="L66" s="694" t="str">
        <f t="array" ref="L66">IF(OR(L65=1,L65=7),"",IFERROR(INDEX($AK$17:$AN$116,MATCH(1,(L62&gt;=$AM$17:$AM$116)*($AN$17:$AN$116&gt;=L62)*($AK$17:$AK$116=$U$2),0),2),""))</f>
        <v/>
      </c>
      <c r="M66" s="694" t="str">
        <f t="array" ref="M66">IF(OR(M65=1,M65=7),"",IFERROR(INDEX($AK$17:$AN$116,MATCH(1,(M62&gt;=$AM$17:$AM$116)*($AN$17:$AN$116&gt;=M62)*($AK$17:$AK$116=$U$2),0),2),""))</f>
        <v/>
      </c>
      <c r="N66" s="694" t="str">
        <f t="array" ref="N66">IF(OR(N65=1,N65=7),"",IFERROR(INDEX($AK$17:$AN$116,MATCH(1,(N62&gt;=$AM$17:$AM$116)*($AN$17:$AN$116&gt;=N62)*($AK$17:$AK$116=$U$2),0),2),""))</f>
        <v/>
      </c>
      <c r="O66" s="694" t="str">
        <f t="array" ref="O66">IF(OR(O65=1,O65=7),"",IFERROR(INDEX($AK$17:$AN$116,MATCH(1,(O62&gt;=$AM$17:$AM$116)*($AN$17:$AN$116&gt;=O62)*($AK$17:$AK$116=$U$2),0),2),""))</f>
        <v/>
      </c>
      <c r="P66" s="694" t="str">
        <f t="array" ref="P66">IF(OR(P65=1,P65=7),"",IFERROR(INDEX($AK$17:$AN$116,MATCH(1,(P62&gt;=$AM$17:$AM$116)*($AN$17:$AN$116&gt;=P62)*($AK$17:$AK$116=$U$2),0),2),""))</f>
        <v/>
      </c>
      <c r="Q66" s="694" t="str">
        <f t="array" ref="Q66">IF(OR(Q65=1,Q65=7),"",IFERROR(INDEX($AK$17:$AN$116,MATCH(1,(Q62&gt;=$AM$17:$AM$116)*($AN$17:$AN$116&gt;=Q62)*($AK$17:$AK$116=$U$2),0),2),""))</f>
        <v/>
      </c>
      <c r="R66" s="694" t="str">
        <f t="array" ref="R66">IF(OR(R65=1,R65=7),"",IFERROR(INDEX($AK$17:$AN$116,MATCH(1,(R62&gt;=$AM$17:$AM$116)*($AN$17:$AN$116&gt;=R62)*($AK$17:$AK$116=$U$2),0),2),""))</f>
        <v/>
      </c>
      <c r="S66" s="694" t="str">
        <f t="array" ref="S66">IF(OR(S65=1,S65=7),"",IFERROR(INDEX($AK$17:$AN$116,MATCH(1,(S62&gt;=$AM$17:$AM$116)*($AN$17:$AN$116&gt;=S62)*($AK$17:$AK$116=$U$2),0),2),""))</f>
        <v/>
      </c>
      <c r="T66" s="694" t="str">
        <f t="array" ref="T66">IF(OR(T65=1,T65=7),"",IFERROR(INDEX($AK$17:$AN$116,MATCH(1,(T62&gt;=$AM$17:$AM$116)*($AN$17:$AN$116&gt;=T62)*($AK$17:$AK$116=$U$2),0),2),""))</f>
        <v/>
      </c>
      <c r="U66" s="694" t="str">
        <f t="array" ref="U66">IF(OR(U65=1,U65=7),"",IFERROR(INDEX($AK$17:$AN$116,MATCH(1,(U62&gt;=$AM$17:$AM$116)*($AN$17:$AN$116&gt;=U62)*($AK$17:$AK$116=$U$2),0),2),""))</f>
        <v/>
      </c>
      <c r="V66" s="694" t="str">
        <f t="array" ref="V66">IF(OR(V65=1,V65=7),"",IFERROR(INDEX($AK$17:$AN$116,MATCH(1,(V62&gt;=$AM$17:$AM$116)*($AN$17:$AN$116&gt;=V62)*($AK$17:$AK$116=$U$2),0),2),""))</f>
        <v/>
      </c>
      <c r="W66" s="694" t="str">
        <f t="array" ref="W66">IF(OR(W65=1,W65=7),"",IFERROR(INDEX($AK$17:$AN$116,MATCH(1,(W62&gt;=$AM$17:$AM$116)*($AN$17:$AN$116&gt;=W62)*($AK$17:$AK$116=$U$2),0),2),""))</f>
        <v/>
      </c>
      <c r="X66" s="694" t="str">
        <f t="array" ref="X66">IF(OR(X65=1,X65=7),"",IFERROR(INDEX($AK$17:$AN$116,MATCH(1,(X62&gt;=$AM$17:$AM$116)*($AN$17:$AN$116&gt;=X62)*($AK$17:$AK$116=$U$2),0),2),""))</f>
        <v/>
      </c>
      <c r="Y66" s="694" t="str">
        <f t="array" ref="Y66">IF(OR(Y65=1,Y65=7),"",IFERROR(INDEX($AK$17:$AN$116,MATCH(1,(Y62&gt;=$AM$17:$AM$116)*($AN$17:$AN$116&gt;=Y62)*($AK$17:$AK$116=$U$2),0),2),""))</f>
        <v/>
      </c>
      <c r="Z66" s="694" t="str">
        <f t="array" ref="Z66">IF(OR(Z65=1,Z65=7),"",IFERROR(INDEX($AK$17:$AN$116,MATCH(1,(Z62&gt;=$AM$17:$AM$116)*($AN$17:$AN$116&gt;=Z62)*($AK$17:$AK$116=$U$2),0),2),""))</f>
        <v/>
      </c>
      <c r="AA66" s="694" t="str">
        <f t="array" ref="AA66">IF(OR(AA65=1,AA65=7),"",IFERROR(INDEX($AK$17:$AN$116,MATCH(1,(AA62&gt;=$AM$17:$AM$116)*($AN$17:$AN$116&gt;=AA62)*($AK$17:$AK$116=$U$2),0),2),""))</f>
        <v/>
      </c>
      <c r="AB66" s="694" t="str">
        <f t="array" ref="AB66">IF(OR(AB65=1,AB65=7),"",IFERROR(INDEX($AK$17:$AN$116,MATCH(1,(AB62&gt;=$AM$17:$AM$116)*($AN$17:$AN$116&gt;=AB62)*($AK$17:$AK$116=$U$2),0),2),""))</f>
        <v/>
      </c>
      <c r="AC66" s="694" t="str">
        <f t="array" ref="AC66">IF(OR(AC65=1,AC65=7),"",IFERROR(INDEX($AK$17:$AN$116,MATCH(1,(AC62&gt;=$AM$17:$AM$116)*($AN$17:$AN$116&gt;=AC62)*($AK$17:$AK$116=$U$2),0),2),""))</f>
        <v/>
      </c>
      <c r="AD66" s="694" t="str">
        <f t="array" ref="AD66">IF(OR(AD65=1,AD65=7),"",IFERROR(INDEX($AK$17:$AN$116,MATCH(1,(AD62&gt;=$AM$17:$AM$116)*($AN$17:$AN$116&gt;=AD62)*($AK$17:$AK$116=$U$2),0),2),""))</f>
        <v/>
      </c>
      <c r="AE66" s="694" t="str">
        <f t="array" ref="AE66">IF(OR(AE65=1,AE65=7),"",IFERROR(INDEX($AK$17:$AN$116,MATCH(1,(AE62&gt;=$AM$17:$AM$116)*($AN$17:$AN$116&gt;=AE62)*($AK$17:$AK$116=$U$2),0),2),""))</f>
        <v/>
      </c>
      <c r="AF66" s="694" t="str">
        <f t="array" ref="AF66">IF(OR(AF65=1,AF65=7),"",IFERROR(INDEX($AK$17:$AN$116,MATCH(1,(AF62&gt;=$AM$17:$AM$116)*($AN$17:$AN$116&gt;=AF62)*($AK$17:$AK$116=$U$2),0),2),""))</f>
        <v/>
      </c>
      <c r="AG66" s="695" t="str">
        <f t="array" ref="AG66">IF(OR(AG65=1,AG65=7),"",IFERROR(INDEX($AK$17:$AN$116,MATCH(1,(AG62&gt;=$AM$17:$AM$116)*($AN$17:$AN$116&gt;=AG62)*($AK$17:$AK$116=$U$2),0),2),""))</f>
        <v/>
      </c>
      <c r="AH66" s="648">
        <f>COUNTIF(C66:AG66,AI66)</f>
        <v>0</v>
      </c>
      <c r="AI66" s="639" t="s">
        <v>362</v>
      </c>
      <c r="AJ66" s="13">
        <v>50</v>
      </c>
      <c r="AL66" s="23"/>
      <c r="AM66" s="31"/>
      <c r="AN66" s="31"/>
      <c r="AO66" s="635">
        <f>Absences2681012149[[#This Row],[debut]]</f>
        <v>0</v>
      </c>
      <c r="AP66" s="13"/>
      <c r="AQ66" s="13"/>
      <c r="AR66" s="13"/>
      <c r="AS66" s="13"/>
      <c r="AT66" s="13"/>
      <c r="AU66" s="73"/>
      <c r="AV66" s="59" t="s">
        <v>126</v>
      </c>
      <c r="AW66" s="55"/>
      <c r="AX66" s="60"/>
      <c r="AY66" s="52"/>
      <c r="AZ66" s="53"/>
      <c r="BA66" s="54"/>
      <c r="BB66" s="55"/>
      <c r="BC66" s="56"/>
      <c r="BD66" s="56"/>
      <c r="BE66" s="56"/>
      <c r="BF66" s="56"/>
    </row>
    <row r="67" spans="1:58" ht="16.5" customHeight="1" thickBot="1" x14ac:dyDescent="0.3">
      <c r="A67" s="678"/>
      <c r="B67" s="40">
        <f>COUNTA(C67:AG67)</f>
        <v>0</v>
      </c>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677"/>
      <c r="AI67" s="678"/>
      <c r="AJ67" s="13">
        <v>51</v>
      </c>
      <c r="AL67" s="23"/>
      <c r="AM67" s="31"/>
      <c r="AN67" s="31"/>
      <c r="AO67" s="635">
        <f>Absences2681012149[[#This Row],[debut]]</f>
        <v>0</v>
      </c>
      <c r="AP67" s="13"/>
      <c r="AQ67" s="13"/>
      <c r="AR67" s="13"/>
      <c r="AS67" s="13"/>
      <c r="AT67" s="13"/>
      <c r="AU67" s="54"/>
      <c r="AV67" s="54"/>
      <c r="AW67" s="72"/>
      <c r="AX67" s="56"/>
      <c r="AY67" s="54"/>
      <c r="AZ67" s="54"/>
      <c r="BA67" s="54"/>
      <c r="BB67" s="55"/>
      <c r="BC67" s="56"/>
      <c r="BD67" s="56"/>
      <c r="BE67" s="56"/>
      <c r="BF67" s="56"/>
    </row>
    <row r="68" spans="1:58" ht="14.25" customHeight="1" thickBot="1" x14ac:dyDescent="0.3">
      <c r="A68" s="651"/>
      <c r="B68" s="20">
        <f>DATE($C$2,MONTH(1&amp;"/"&amp;C69),1)</f>
        <v>44136</v>
      </c>
      <c r="C68" s="14">
        <f>B68</f>
        <v>44136</v>
      </c>
      <c r="D68" s="14">
        <f>IFERROR(IF(C68+1&gt;$B$69,"",C68+1),"")</f>
        <v>44137</v>
      </c>
      <c r="E68" s="14">
        <f t="shared" ref="E68:AG68" si="43">IFERROR(IF(D68+1&gt;$B$69,"",D68+1),"")</f>
        <v>44138</v>
      </c>
      <c r="F68" s="14">
        <f t="shared" si="43"/>
        <v>44139</v>
      </c>
      <c r="G68" s="14">
        <f t="shared" si="43"/>
        <v>44140</v>
      </c>
      <c r="H68" s="14">
        <f t="shared" si="43"/>
        <v>44141</v>
      </c>
      <c r="I68" s="14">
        <f t="shared" si="43"/>
        <v>44142</v>
      </c>
      <c r="J68" s="14">
        <f t="shared" si="43"/>
        <v>44143</v>
      </c>
      <c r="K68" s="14">
        <f t="shared" si="43"/>
        <v>44144</v>
      </c>
      <c r="L68" s="14">
        <f t="shared" si="43"/>
        <v>44145</v>
      </c>
      <c r="M68" s="14">
        <f t="shared" si="43"/>
        <v>44146</v>
      </c>
      <c r="N68" s="14">
        <f t="shared" si="43"/>
        <v>44147</v>
      </c>
      <c r="O68" s="14">
        <f t="shared" si="43"/>
        <v>44148</v>
      </c>
      <c r="P68" s="14">
        <f t="shared" si="43"/>
        <v>44149</v>
      </c>
      <c r="Q68" s="14">
        <f t="shared" si="43"/>
        <v>44150</v>
      </c>
      <c r="R68" s="14">
        <f t="shared" si="43"/>
        <v>44151</v>
      </c>
      <c r="S68" s="14">
        <f t="shared" si="43"/>
        <v>44152</v>
      </c>
      <c r="T68" s="14">
        <f t="shared" si="43"/>
        <v>44153</v>
      </c>
      <c r="U68" s="14">
        <f t="shared" si="43"/>
        <v>44154</v>
      </c>
      <c r="V68" s="14">
        <f t="shared" si="43"/>
        <v>44155</v>
      </c>
      <c r="W68" s="14">
        <f t="shared" si="43"/>
        <v>44156</v>
      </c>
      <c r="X68" s="14">
        <f t="shared" si="43"/>
        <v>44157</v>
      </c>
      <c r="Y68" s="14">
        <f t="shared" si="43"/>
        <v>44158</v>
      </c>
      <c r="Z68" s="14">
        <f t="shared" si="43"/>
        <v>44159</v>
      </c>
      <c r="AA68" s="14">
        <f t="shared" si="43"/>
        <v>44160</v>
      </c>
      <c r="AB68" s="14">
        <f t="shared" si="43"/>
        <v>44161</v>
      </c>
      <c r="AC68" s="14">
        <f t="shared" si="43"/>
        <v>44162</v>
      </c>
      <c r="AD68" s="14">
        <f t="shared" si="43"/>
        <v>44163</v>
      </c>
      <c r="AE68" s="14">
        <f t="shared" si="43"/>
        <v>44164</v>
      </c>
      <c r="AF68" s="14">
        <f t="shared" si="43"/>
        <v>44165</v>
      </c>
      <c r="AG68" s="14" t="str">
        <f t="shared" si="43"/>
        <v/>
      </c>
      <c r="AH68" s="647">
        <f>COUNTIF(C72:AG72,AI68)</f>
        <v>0</v>
      </c>
      <c r="AI68" s="640" t="s">
        <v>8</v>
      </c>
      <c r="AJ68" s="13">
        <v>52</v>
      </c>
      <c r="AL68" s="23"/>
      <c r="AM68" s="31"/>
      <c r="AN68" s="31"/>
      <c r="AO68" s="635">
        <f>Absences2681012149[[#This Row],[debut]]</f>
        <v>0</v>
      </c>
      <c r="AP68" s="13"/>
      <c r="AQ68" s="13"/>
      <c r="AR68" s="45"/>
      <c r="AS68" s="45"/>
      <c r="AT68" s="45"/>
      <c r="AU68" s="94" t="s">
        <v>104</v>
      </c>
      <c r="AV68" s="50">
        <v>0.58333333333333337</v>
      </c>
      <c r="AW68" s="50">
        <v>0.75</v>
      </c>
      <c r="AX68" s="51">
        <v>0</v>
      </c>
      <c r="AY68" s="52">
        <f>IF(AW68-AV68=0,0,(AW68-AV68)-(AX68*TIMEVALUE("00:30")))</f>
        <v>0.16666666666666663</v>
      </c>
      <c r="AZ68" s="61" t="s">
        <v>76</v>
      </c>
      <c r="BA68" s="54"/>
      <c r="BB68" s="55"/>
      <c r="BC68" s="56"/>
      <c r="BD68" s="56"/>
      <c r="BE68" s="56"/>
      <c r="BF68" s="56"/>
    </row>
    <row r="69" spans="1:58" ht="18.75" customHeight="1" x14ac:dyDescent="0.25">
      <c r="A69" s="652"/>
      <c r="B69" s="21">
        <f>EOMONTH(B68,0)</f>
        <v>44165</v>
      </c>
      <c r="C69" s="1476" t="s">
        <v>108</v>
      </c>
      <c r="D69" s="1477"/>
      <c r="E69" s="1477"/>
      <c r="F69" s="1477"/>
      <c r="G69" s="1477"/>
      <c r="H69" s="1477"/>
      <c r="I69" s="1477"/>
      <c r="J69" s="1477"/>
      <c r="K69" s="1477"/>
      <c r="L69" s="1477"/>
      <c r="M69" s="1477"/>
      <c r="N69" s="1477"/>
      <c r="O69" s="1477"/>
      <c r="P69" s="1477"/>
      <c r="Q69" s="1477"/>
      <c r="R69" s="1477"/>
      <c r="S69" s="1477"/>
      <c r="T69" s="1477"/>
      <c r="U69" s="1477"/>
      <c r="V69" s="1477"/>
      <c r="W69" s="1477"/>
      <c r="X69" s="1477"/>
      <c r="Y69" s="1477"/>
      <c r="Z69" s="1477"/>
      <c r="AA69" s="1477"/>
      <c r="AB69" s="1477"/>
      <c r="AC69" s="1477"/>
      <c r="AD69" s="1477"/>
      <c r="AE69" s="1477"/>
      <c r="AF69" s="1477"/>
      <c r="AG69" s="1478"/>
      <c r="AH69" s="648">
        <f>COUNTIF(C72:AG72,AI69)</f>
        <v>0</v>
      </c>
      <c r="AI69" s="629" t="s">
        <v>360</v>
      </c>
      <c r="AJ69" s="13">
        <v>53</v>
      </c>
      <c r="AL69" s="23"/>
      <c r="AM69" s="31"/>
      <c r="AN69" s="31"/>
      <c r="AO69" s="635">
        <f>Absences2681012149[[#This Row],[debut]]</f>
        <v>0</v>
      </c>
      <c r="AP69" s="13"/>
      <c r="AQ69" s="13"/>
      <c r="AR69" s="13"/>
      <c r="AS69" s="13"/>
      <c r="AT69" s="13"/>
      <c r="AU69" s="1506" t="s">
        <v>134</v>
      </c>
      <c r="AV69" s="1506"/>
      <c r="AW69" s="1506"/>
      <c r="AX69" s="1506"/>
      <c r="AY69" s="1506"/>
      <c r="AZ69" s="1506"/>
      <c r="BA69" s="1506"/>
      <c r="BB69" s="1506"/>
      <c r="BC69" s="1506"/>
      <c r="BD69" s="1506"/>
      <c r="BE69" s="1506"/>
      <c r="BF69" s="1506"/>
    </row>
    <row r="70" spans="1:58" x14ac:dyDescent="0.25">
      <c r="A70" s="654" t="s">
        <v>662</v>
      </c>
      <c r="B70" s="657">
        <f>COUNTIF(C72:AG72,A70)</f>
        <v>0</v>
      </c>
      <c r="C70" s="38">
        <f t="shared" ref="C70:AG70" si="44">IFERROR(DAY(C68),"")</f>
        <v>1</v>
      </c>
      <c r="D70" s="3">
        <f t="shared" si="44"/>
        <v>2</v>
      </c>
      <c r="E70" s="3">
        <f t="shared" si="44"/>
        <v>3</v>
      </c>
      <c r="F70" s="3">
        <f t="shared" si="44"/>
        <v>4</v>
      </c>
      <c r="G70" s="3">
        <f t="shared" si="44"/>
        <v>5</v>
      </c>
      <c r="H70" s="3">
        <f t="shared" si="44"/>
        <v>6</v>
      </c>
      <c r="I70" s="3">
        <f t="shared" si="44"/>
        <v>7</v>
      </c>
      <c r="J70" s="3">
        <f t="shared" si="44"/>
        <v>8</v>
      </c>
      <c r="K70" s="3">
        <f t="shared" si="44"/>
        <v>9</v>
      </c>
      <c r="L70" s="3">
        <f t="shared" si="44"/>
        <v>10</v>
      </c>
      <c r="M70" s="3">
        <f t="shared" si="44"/>
        <v>11</v>
      </c>
      <c r="N70" s="3">
        <f t="shared" si="44"/>
        <v>12</v>
      </c>
      <c r="O70" s="3">
        <f t="shared" si="44"/>
        <v>13</v>
      </c>
      <c r="P70" s="3">
        <f t="shared" si="44"/>
        <v>14</v>
      </c>
      <c r="Q70" s="3">
        <f t="shared" si="44"/>
        <v>15</v>
      </c>
      <c r="R70" s="3">
        <f t="shared" si="44"/>
        <v>16</v>
      </c>
      <c r="S70" s="3">
        <f t="shared" si="44"/>
        <v>17</v>
      </c>
      <c r="T70" s="3">
        <f t="shared" si="44"/>
        <v>18</v>
      </c>
      <c r="U70" s="3">
        <f t="shared" si="44"/>
        <v>19</v>
      </c>
      <c r="V70" s="3">
        <f t="shared" si="44"/>
        <v>20</v>
      </c>
      <c r="W70" s="3">
        <f t="shared" si="44"/>
        <v>21</v>
      </c>
      <c r="X70" s="3">
        <f t="shared" si="44"/>
        <v>22</v>
      </c>
      <c r="Y70" s="3">
        <f t="shared" si="44"/>
        <v>23</v>
      </c>
      <c r="Z70" s="3">
        <f t="shared" si="44"/>
        <v>24</v>
      </c>
      <c r="AA70" s="3">
        <f t="shared" si="44"/>
        <v>25</v>
      </c>
      <c r="AB70" s="3">
        <f t="shared" si="44"/>
        <v>26</v>
      </c>
      <c r="AC70" s="3">
        <f t="shared" si="44"/>
        <v>27</v>
      </c>
      <c r="AD70" s="3">
        <f t="shared" si="44"/>
        <v>28</v>
      </c>
      <c r="AE70" s="3">
        <f t="shared" si="44"/>
        <v>29</v>
      </c>
      <c r="AF70" s="3">
        <f t="shared" si="44"/>
        <v>30</v>
      </c>
      <c r="AG70" s="7" t="str">
        <f t="shared" si="44"/>
        <v/>
      </c>
      <c r="AH70" s="648">
        <f>COUNTIF(C72:AG72,AI70)</f>
        <v>0</v>
      </c>
      <c r="AI70" s="10" t="s">
        <v>6</v>
      </c>
      <c r="AJ70" s="13">
        <v>54</v>
      </c>
      <c r="AL70" s="23"/>
      <c r="AM70" s="31"/>
      <c r="AN70" s="31"/>
      <c r="AO70" s="635">
        <f>Absences2681012149[[#This Row],[debut]]</f>
        <v>0</v>
      </c>
      <c r="AP70" s="13"/>
      <c r="AQ70" s="13"/>
      <c r="AR70" s="13"/>
      <c r="AS70" s="13"/>
      <c r="AT70" s="13"/>
      <c r="AU70" s="1506"/>
      <c r="AV70" s="1506"/>
      <c r="AW70" s="1506"/>
      <c r="AX70" s="1506"/>
      <c r="AY70" s="1506"/>
      <c r="AZ70" s="1506"/>
      <c r="BA70" s="1506"/>
      <c r="BB70" s="1506"/>
      <c r="BC70" s="1506"/>
      <c r="BD70" s="1506"/>
      <c r="BE70" s="1506"/>
      <c r="BF70" s="1506"/>
    </row>
    <row r="71" spans="1:58" ht="16.5" thickBot="1" x14ac:dyDescent="0.3">
      <c r="A71" s="655" t="s">
        <v>800</v>
      </c>
      <c r="B71" s="658">
        <f>COUNTIF(C72:AG72,A71)</f>
        <v>0</v>
      </c>
      <c r="C71" s="39">
        <f t="shared" ref="C71:AC71" si="45">IF(C68="","",WEEKDAY(C68,1))</f>
        <v>1</v>
      </c>
      <c r="D71" s="8">
        <f t="shared" si="45"/>
        <v>2</v>
      </c>
      <c r="E71" s="8">
        <f t="shared" si="45"/>
        <v>3</v>
      </c>
      <c r="F71" s="8">
        <f t="shared" si="45"/>
        <v>4</v>
      </c>
      <c r="G71" s="8">
        <f t="shared" si="45"/>
        <v>5</v>
      </c>
      <c r="H71" s="8">
        <f t="shared" si="45"/>
        <v>6</v>
      </c>
      <c r="I71" s="8">
        <f t="shared" si="45"/>
        <v>7</v>
      </c>
      <c r="J71" s="8">
        <f t="shared" si="45"/>
        <v>1</v>
      </c>
      <c r="K71" s="8">
        <f t="shared" si="45"/>
        <v>2</v>
      </c>
      <c r="L71" s="8">
        <f t="shared" si="45"/>
        <v>3</v>
      </c>
      <c r="M71" s="8">
        <f t="shared" si="45"/>
        <v>4</v>
      </c>
      <c r="N71" s="8">
        <f t="shared" si="45"/>
        <v>5</v>
      </c>
      <c r="O71" s="8">
        <f t="shared" si="45"/>
        <v>6</v>
      </c>
      <c r="P71" s="8">
        <f t="shared" si="45"/>
        <v>7</v>
      </c>
      <c r="Q71" s="8">
        <f t="shared" si="45"/>
        <v>1</v>
      </c>
      <c r="R71" s="8">
        <f t="shared" si="45"/>
        <v>2</v>
      </c>
      <c r="S71" s="8">
        <f t="shared" si="45"/>
        <v>3</v>
      </c>
      <c r="T71" s="8">
        <f t="shared" si="45"/>
        <v>4</v>
      </c>
      <c r="U71" s="8">
        <f t="shared" si="45"/>
        <v>5</v>
      </c>
      <c r="V71" s="8">
        <f t="shared" si="45"/>
        <v>6</v>
      </c>
      <c r="W71" s="8">
        <f t="shared" si="45"/>
        <v>7</v>
      </c>
      <c r="X71" s="8">
        <f t="shared" si="45"/>
        <v>1</v>
      </c>
      <c r="Y71" s="8">
        <f t="shared" si="45"/>
        <v>2</v>
      </c>
      <c r="Z71" s="8">
        <f t="shared" si="45"/>
        <v>3</v>
      </c>
      <c r="AA71" s="8">
        <f t="shared" si="45"/>
        <v>4</v>
      </c>
      <c r="AB71" s="8">
        <f t="shared" si="45"/>
        <v>5</v>
      </c>
      <c r="AC71" s="8">
        <f t="shared" si="45"/>
        <v>6</v>
      </c>
      <c r="AD71" s="8">
        <f>IF(AD68="","",WEEKDAY(AD68,1))</f>
        <v>7</v>
      </c>
      <c r="AE71" s="8">
        <f>IF(AE68="","",WEEKDAY(AE68,1))</f>
        <v>1</v>
      </c>
      <c r="AF71" s="8">
        <f t="shared" ref="AF71:AG71" si="46">IF(AF68="","",WEEKDAY(AF68,1))</f>
        <v>2</v>
      </c>
      <c r="AG71" s="9" t="str">
        <f t="shared" si="46"/>
        <v/>
      </c>
      <c r="AH71" s="648">
        <f>COUNTIF(C72:AG72,AI71)</f>
        <v>0</v>
      </c>
      <c r="AI71" s="633" t="s">
        <v>799</v>
      </c>
      <c r="AJ71" s="13">
        <v>55</v>
      </c>
      <c r="AL71" s="23"/>
      <c r="AM71" s="31"/>
      <c r="AN71" s="31"/>
      <c r="AO71" s="635">
        <f>Absences2681012149[[#This Row],[debut]]</f>
        <v>0</v>
      </c>
      <c r="AP71" s="13"/>
      <c r="AQ71" s="13"/>
      <c r="AR71" s="13"/>
      <c r="AS71" s="13"/>
      <c r="AT71" s="13"/>
      <c r="AU71" s="94" t="s">
        <v>105</v>
      </c>
      <c r="AV71" s="50">
        <v>0.3125</v>
      </c>
      <c r="AW71" s="50">
        <v>0.47916666666666669</v>
      </c>
      <c r="AX71" s="51">
        <v>0</v>
      </c>
      <c r="AY71" s="52">
        <f>IF(AW71-AV71=0,0,(AW71-AV71)-(AX71*TIMEVALUE("00:30")))</f>
        <v>0.16666666666666669</v>
      </c>
      <c r="AZ71" s="53" t="s">
        <v>77</v>
      </c>
      <c r="BA71" s="63"/>
      <c r="BB71" s="63"/>
      <c r="BC71" s="63"/>
      <c r="BD71" s="63"/>
      <c r="BE71" s="63"/>
      <c r="BF71" s="63"/>
    </row>
    <row r="72" spans="1:58" x14ac:dyDescent="0.25">
      <c r="A72" s="679" t="s">
        <v>7</v>
      </c>
      <c r="B72" s="658">
        <f>COUNTIF(C72:AG72,A72)</f>
        <v>0</v>
      </c>
      <c r="C72" s="693" t="str">
        <f t="array" ref="C72">IF(OR(C71=1,C71=7),"",IFERROR(INDEX($AK$17:$AN$116,MATCH(1,(C68&gt;=$AM$17:$AM$116)*($AN$17:$AN$116&gt;=C68)*($AK$17:$AK$116=$U$2),0),2),""))</f>
        <v/>
      </c>
      <c r="D72" s="694" t="str">
        <f t="array" ref="D72">IF(OR(D71=1,D71=7),"",IFERROR(INDEX($AK$17:$AN$116,MATCH(1,(D68&gt;=$AM$17:$AM$116)*($AN$17:$AN$116&gt;=D68)*($AK$17:$AK$116=$U$2),0),2),""))</f>
        <v/>
      </c>
      <c r="E72" s="694" t="str">
        <f t="array" ref="E72">IF(OR(E71=1,E71=7),"",IFERROR(INDEX($AK$17:$AN$116,MATCH(1,(E68&gt;=$AM$17:$AM$116)*($AN$17:$AN$116&gt;=E68)*($AK$17:$AK$116=$U$2),0),2),""))</f>
        <v/>
      </c>
      <c r="F72" s="694" t="str">
        <f t="array" ref="F72">IF(OR(F71=1,F71=7),"",IFERROR(INDEX($AK$17:$AN$116,MATCH(1,(F68&gt;=$AM$17:$AM$116)*($AN$17:$AN$116&gt;=F68)*($AK$17:$AK$116=$U$2),0),2),""))</f>
        <v/>
      </c>
      <c r="G72" s="694" t="str">
        <f t="array" ref="G72">IF(OR(G71=1,G71=7),"",IFERROR(INDEX($AK$17:$AN$116,MATCH(1,(G68&gt;=$AM$17:$AM$116)*($AN$17:$AN$116&gt;=G68)*($AK$17:$AK$116=$U$2),0),2),""))</f>
        <v/>
      </c>
      <c r="H72" s="694" t="str">
        <f t="array" ref="H72">IF(OR(H71=1,H71=7),"",IFERROR(INDEX($AK$17:$AN$116,MATCH(1,(H68&gt;=$AM$17:$AM$116)*($AN$17:$AN$116&gt;=H68)*($AK$17:$AK$116=$U$2),0),2),""))</f>
        <v/>
      </c>
      <c r="I72" s="694" t="str">
        <f t="array" ref="I72">IF(OR(I71=1,I71=7),"",IFERROR(INDEX($AK$17:$AN$116,MATCH(1,(I68&gt;=$AM$17:$AM$116)*($AN$17:$AN$116&gt;=I68)*($AK$17:$AK$116=$U$2),0),2),""))</f>
        <v/>
      </c>
      <c r="J72" s="694" t="str">
        <f t="array" ref="J72">IF(OR(J71=1,J71=7),"",IFERROR(INDEX($AK$17:$AN$116,MATCH(1,(J68&gt;=$AM$17:$AM$116)*($AN$17:$AN$116&gt;=J68)*($AK$17:$AK$116=$U$2),0),2),""))</f>
        <v/>
      </c>
      <c r="K72" s="694" t="str">
        <f t="array" ref="K72">IF(OR(K71=1,K71=7),"",IFERROR(INDEX($AK$17:$AN$116,MATCH(1,(K68&gt;=$AM$17:$AM$116)*($AN$17:$AN$116&gt;=K68)*($AK$17:$AK$116=$U$2),0),2),""))</f>
        <v/>
      </c>
      <c r="L72" s="694" t="str">
        <f t="array" ref="L72">IF(OR(L71=1,L71=7),"",IFERROR(INDEX($AK$17:$AN$116,MATCH(1,(L68&gt;=$AM$17:$AM$116)*($AN$17:$AN$116&gt;=L68)*($AK$17:$AK$116=$U$2),0),2),""))</f>
        <v/>
      </c>
      <c r="M72" s="694" t="str">
        <f t="array" ref="M72">IF(OR(M71=1,M71=7),"",IFERROR(INDEX($AK$17:$AN$116,MATCH(1,(M68&gt;=$AM$17:$AM$116)*($AN$17:$AN$116&gt;=M68)*($AK$17:$AK$116=$U$2),0),2),""))</f>
        <v/>
      </c>
      <c r="N72" s="694" t="str">
        <f t="array" ref="N72">IF(OR(N71=1,N71=7),"",IFERROR(INDEX($AK$17:$AN$116,MATCH(1,(N68&gt;=$AM$17:$AM$116)*($AN$17:$AN$116&gt;=N68)*($AK$17:$AK$116=$U$2),0),2),""))</f>
        <v/>
      </c>
      <c r="O72" s="694" t="str">
        <f t="array" ref="O72">IF(OR(O71=1,O71=7),"",IFERROR(INDEX($AK$17:$AN$116,MATCH(1,(O68&gt;=$AM$17:$AM$116)*($AN$17:$AN$116&gt;=O68)*($AK$17:$AK$116=$U$2),0),2),""))</f>
        <v/>
      </c>
      <c r="P72" s="694" t="str">
        <f t="array" ref="P72">IF(OR(P71=1,P71=7),"",IFERROR(INDEX($AK$17:$AN$116,MATCH(1,(P68&gt;=$AM$17:$AM$116)*($AN$17:$AN$116&gt;=P68)*($AK$17:$AK$116=$U$2),0),2),""))</f>
        <v/>
      </c>
      <c r="Q72" s="694" t="str">
        <f t="array" ref="Q72">IF(OR(Q71=1,Q71=7),"",IFERROR(INDEX($AK$17:$AN$116,MATCH(1,(Q68&gt;=$AM$17:$AM$116)*($AN$17:$AN$116&gt;=Q68)*($AK$17:$AK$116=$U$2),0),2),""))</f>
        <v/>
      </c>
      <c r="R72" s="694" t="str">
        <f t="array" ref="R72">IF(OR(R71=1,R71=7),"",IFERROR(INDEX($AK$17:$AN$116,MATCH(1,(R68&gt;=$AM$17:$AM$116)*($AN$17:$AN$116&gt;=R68)*($AK$17:$AK$116=$U$2),0),2),""))</f>
        <v/>
      </c>
      <c r="S72" s="694" t="str">
        <f t="array" ref="S72">IF(OR(S71=1,S71=7),"",IFERROR(INDEX($AK$17:$AN$116,MATCH(1,(S68&gt;=$AM$17:$AM$116)*($AN$17:$AN$116&gt;=S68)*($AK$17:$AK$116=$U$2),0),2),""))</f>
        <v/>
      </c>
      <c r="T72" s="694" t="str">
        <f t="array" ref="T72">IF(OR(T71=1,T71=7),"",IFERROR(INDEX($AK$17:$AN$116,MATCH(1,(T68&gt;=$AM$17:$AM$116)*($AN$17:$AN$116&gt;=T68)*($AK$17:$AK$116=$U$2),0),2),""))</f>
        <v/>
      </c>
      <c r="U72" s="694" t="str">
        <f t="array" ref="U72">IF(OR(U71=1,U71=7),"",IFERROR(INDEX($AK$17:$AN$116,MATCH(1,(U68&gt;=$AM$17:$AM$116)*($AN$17:$AN$116&gt;=U68)*($AK$17:$AK$116=$U$2),0),2),""))</f>
        <v/>
      </c>
      <c r="V72" s="694" t="str">
        <f t="array" ref="V72">IF(OR(V71=1,V71=7),"",IFERROR(INDEX($AK$17:$AN$116,MATCH(1,(V68&gt;=$AM$17:$AM$116)*($AN$17:$AN$116&gt;=V68)*($AK$17:$AK$116=$U$2),0),2),""))</f>
        <v/>
      </c>
      <c r="W72" s="694" t="str">
        <f t="array" ref="W72">IF(OR(W71=1,W71=7),"",IFERROR(INDEX($AK$17:$AN$116,MATCH(1,(W68&gt;=$AM$17:$AM$116)*($AN$17:$AN$116&gt;=W68)*($AK$17:$AK$116=$U$2),0),2),""))</f>
        <v/>
      </c>
      <c r="X72" s="694" t="str">
        <f t="array" ref="X72">IF(OR(X71=1,X71=7),"",IFERROR(INDEX($AK$17:$AN$116,MATCH(1,(X68&gt;=$AM$17:$AM$116)*($AN$17:$AN$116&gt;=X68)*($AK$17:$AK$116=$U$2),0),2),""))</f>
        <v/>
      </c>
      <c r="Y72" s="694" t="str">
        <f t="array" ref="Y72">IF(OR(Y71=1,Y71=7),"",IFERROR(INDEX($AK$17:$AN$116,MATCH(1,(Y68&gt;=$AM$17:$AM$116)*($AN$17:$AN$116&gt;=Y68)*($AK$17:$AK$116=$U$2),0),2),""))</f>
        <v/>
      </c>
      <c r="Z72" s="694" t="str">
        <f t="array" ref="Z72">IF(OR(Z71=1,Z71=7),"",IFERROR(INDEX($AK$17:$AN$116,MATCH(1,(Z68&gt;=$AM$17:$AM$116)*($AN$17:$AN$116&gt;=Z68)*($AK$17:$AK$116=$U$2),0),2),""))</f>
        <v/>
      </c>
      <c r="AA72" s="694" t="str">
        <f t="array" ref="AA72">IF(OR(AA71=1,AA71=7),"",IFERROR(INDEX($AK$17:$AN$116,MATCH(1,(AA68&gt;=$AM$17:$AM$116)*($AN$17:$AN$116&gt;=AA68)*($AK$17:$AK$116=$U$2),0),2),""))</f>
        <v/>
      </c>
      <c r="AB72" s="694" t="str">
        <f t="array" ref="AB72">IF(OR(AB71=1,AB71=7),"",IFERROR(INDEX($AK$17:$AN$116,MATCH(1,(AB68&gt;=$AM$17:$AM$116)*($AN$17:$AN$116&gt;=AB68)*($AK$17:$AK$116=$U$2),0),2),""))</f>
        <v/>
      </c>
      <c r="AC72" s="694" t="str">
        <f t="array" ref="AC72">IF(OR(AC71=1,AC71=7),"",IFERROR(INDEX($AK$17:$AN$116,MATCH(1,(AC68&gt;=$AM$17:$AM$116)*($AN$17:$AN$116&gt;=AC68)*($AK$17:$AK$116=$U$2),0),2),""))</f>
        <v/>
      </c>
      <c r="AD72" s="694" t="str">
        <f t="array" ref="AD72">IF(OR(AD71=1,AD71=7),"",IFERROR(INDEX($AK$17:$AN$116,MATCH(1,(AD68&gt;=$AM$17:$AM$116)*($AN$17:$AN$116&gt;=AD68)*($AK$17:$AK$116=$U$2),0),2),""))</f>
        <v/>
      </c>
      <c r="AE72" s="694" t="str">
        <f t="array" ref="AE72">IF(OR(AE71=1,AE71=7),"",IFERROR(INDEX($AK$17:$AN$116,MATCH(1,(AE68&gt;=$AM$17:$AM$116)*($AN$17:$AN$116&gt;=AE68)*($AK$17:$AK$116=$U$2),0),2),""))</f>
        <v/>
      </c>
      <c r="AF72" s="694" t="str">
        <f t="array" ref="AF72">IF(OR(AF71=1,AF71=7),"",IFERROR(INDEX($AK$17:$AN$116,MATCH(1,(AF68&gt;=$AM$17:$AM$116)*($AN$17:$AN$116&gt;=AF68)*($AK$17:$AK$116=$U$2),0),2),""))</f>
        <v/>
      </c>
      <c r="AG72" s="695" t="str">
        <f t="array" ref="AG72">IF(OR(AG71=1,AG71=7),"",IFERROR(INDEX($AK$17:$AN$116,MATCH(1,(AG68&gt;=$AM$17:$AM$116)*($AN$17:$AN$116&gt;=AG68)*($AK$17:$AK$116=$U$2),0),2),""))</f>
        <v/>
      </c>
      <c r="AH72" s="648">
        <f>COUNTIF(C72:AG72,AI72)</f>
        <v>0</v>
      </c>
      <c r="AI72" s="639" t="s">
        <v>362</v>
      </c>
      <c r="AJ72" s="13">
        <v>56</v>
      </c>
      <c r="AL72" s="23"/>
      <c r="AM72" s="31"/>
      <c r="AN72" s="31"/>
      <c r="AO72" s="635">
        <f>Absences2681012149[[#This Row],[debut]]</f>
        <v>0</v>
      </c>
      <c r="AP72" s="13"/>
      <c r="AU72"/>
      <c r="AV72"/>
      <c r="AW72"/>
      <c r="AX72"/>
      <c r="AY72"/>
      <c r="AZ72"/>
      <c r="BA72"/>
      <c r="BB72"/>
      <c r="BC72"/>
      <c r="BD72"/>
      <c r="BE72"/>
      <c r="BF72"/>
    </row>
    <row r="73" spans="1:58" ht="16.5" customHeight="1" thickBot="1" x14ac:dyDescent="0.3">
      <c r="A73" s="678"/>
      <c r="B73" s="40">
        <f>COUNTA(C73:AG73)</f>
        <v>0</v>
      </c>
      <c r="C73" s="41"/>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677"/>
      <c r="AI73" s="678"/>
      <c r="AJ73" s="13">
        <v>57</v>
      </c>
      <c r="AL73" s="23"/>
      <c r="AM73" s="31"/>
      <c r="AN73" s="31"/>
      <c r="AO73" s="635">
        <f>Absences2681012149[[#This Row],[debut]]</f>
        <v>0</v>
      </c>
      <c r="AP73" s="13"/>
      <c r="AQ73" s="57"/>
      <c r="AR73" s="57"/>
      <c r="AS73" s="57"/>
      <c r="AT73" s="57"/>
      <c r="AU73" s="682"/>
      <c r="AV73" s="682"/>
      <c r="AW73" s="682"/>
      <c r="AX73" s="682"/>
      <c r="AY73" s="682"/>
      <c r="AZ73" s="682"/>
      <c r="BA73" s="682"/>
      <c r="BB73" s="682"/>
      <c r="BC73" s="682"/>
      <c r="BD73" s="682"/>
      <c r="BE73" s="682"/>
      <c r="BF73" s="682"/>
    </row>
    <row r="74" spans="1:58" ht="14.25" customHeight="1" x14ac:dyDescent="0.25">
      <c r="A74" s="651"/>
      <c r="B74" s="20">
        <f>DATE($C$2,MONTH(1&amp;"/"&amp;C75),1)</f>
        <v>44166</v>
      </c>
      <c r="C74" s="14">
        <f>B74</f>
        <v>44166</v>
      </c>
      <c r="D74" s="14">
        <f>IFERROR(IF(C74+1&gt;$B$75,"",C74+1),"")</f>
        <v>44167</v>
      </c>
      <c r="E74" s="14">
        <f t="shared" ref="E74:AG74" si="47">IFERROR(IF(D74+1&gt;$B$75,"",D74+1),"")</f>
        <v>44168</v>
      </c>
      <c r="F74" s="14">
        <f t="shared" si="47"/>
        <v>44169</v>
      </c>
      <c r="G74" s="14">
        <f t="shared" si="47"/>
        <v>44170</v>
      </c>
      <c r="H74" s="14">
        <f t="shared" si="47"/>
        <v>44171</v>
      </c>
      <c r="I74" s="14">
        <f t="shared" si="47"/>
        <v>44172</v>
      </c>
      <c r="J74" s="14">
        <f t="shared" si="47"/>
        <v>44173</v>
      </c>
      <c r="K74" s="14">
        <f t="shared" si="47"/>
        <v>44174</v>
      </c>
      <c r="L74" s="14">
        <f t="shared" si="47"/>
        <v>44175</v>
      </c>
      <c r="M74" s="14">
        <f t="shared" si="47"/>
        <v>44176</v>
      </c>
      <c r="N74" s="14">
        <f t="shared" si="47"/>
        <v>44177</v>
      </c>
      <c r="O74" s="14">
        <f t="shared" si="47"/>
        <v>44178</v>
      </c>
      <c r="P74" s="14">
        <f t="shared" si="47"/>
        <v>44179</v>
      </c>
      <c r="Q74" s="14">
        <f t="shared" si="47"/>
        <v>44180</v>
      </c>
      <c r="R74" s="14">
        <f t="shared" si="47"/>
        <v>44181</v>
      </c>
      <c r="S74" s="14">
        <f t="shared" si="47"/>
        <v>44182</v>
      </c>
      <c r="T74" s="14">
        <f t="shared" si="47"/>
        <v>44183</v>
      </c>
      <c r="U74" s="14">
        <f t="shared" si="47"/>
        <v>44184</v>
      </c>
      <c r="V74" s="14">
        <f t="shared" si="47"/>
        <v>44185</v>
      </c>
      <c r="W74" s="14">
        <f t="shared" si="47"/>
        <v>44186</v>
      </c>
      <c r="X74" s="14">
        <f t="shared" si="47"/>
        <v>44187</v>
      </c>
      <c r="Y74" s="14">
        <f t="shared" si="47"/>
        <v>44188</v>
      </c>
      <c r="Z74" s="14">
        <f t="shared" si="47"/>
        <v>44189</v>
      </c>
      <c r="AA74" s="14">
        <f t="shared" si="47"/>
        <v>44190</v>
      </c>
      <c r="AB74" s="14">
        <f t="shared" si="47"/>
        <v>44191</v>
      </c>
      <c r="AC74" s="14">
        <f t="shared" si="47"/>
        <v>44192</v>
      </c>
      <c r="AD74" s="14">
        <f t="shared" si="47"/>
        <v>44193</v>
      </c>
      <c r="AE74" s="14">
        <f t="shared" si="47"/>
        <v>44194</v>
      </c>
      <c r="AF74" s="14">
        <f t="shared" si="47"/>
        <v>44195</v>
      </c>
      <c r="AG74" s="14">
        <f t="shared" si="47"/>
        <v>44196</v>
      </c>
      <c r="AH74" s="647">
        <f>COUNTIF(C78:AG78,AI74)</f>
        <v>0</v>
      </c>
      <c r="AI74" s="640" t="s">
        <v>8</v>
      </c>
      <c r="AJ74" s="13">
        <v>58</v>
      </c>
      <c r="AL74" s="23"/>
      <c r="AM74" s="31"/>
      <c r="AN74" s="31"/>
      <c r="AO74" s="635">
        <f>Absences2681012149[[#This Row],[debut]]</f>
        <v>0</v>
      </c>
      <c r="AP74" s="13"/>
      <c r="AQ74" s="64"/>
      <c r="AR74" s="64"/>
      <c r="AS74" s="64"/>
      <c r="AT74" s="64"/>
      <c r="AU74" s="1499" t="s">
        <v>558</v>
      </c>
      <c r="AV74" s="1499"/>
      <c r="AW74" s="1499"/>
      <c r="AX74" s="1499"/>
      <c r="AY74" s="1499"/>
      <c r="AZ74" s="1499"/>
      <c r="BA74" s="1499"/>
      <c r="BB74" s="1499"/>
      <c r="BC74" s="56"/>
      <c r="BD74" s="56"/>
      <c r="BE74" s="56"/>
      <c r="BF74" s="56"/>
    </row>
    <row r="75" spans="1:58" ht="21.75" thickBot="1" x14ac:dyDescent="0.4">
      <c r="A75" s="652"/>
      <c r="B75" s="21">
        <f>EOMONTH(B74,0)</f>
        <v>44196</v>
      </c>
      <c r="C75" s="1476" t="s">
        <v>51</v>
      </c>
      <c r="D75" s="1477"/>
      <c r="E75" s="1477"/>
      <c r="F75" s="1477"/>
      <c r="G75" s="1477"/>
      <c r="H75" s="1477"/>
      <c r="I75" s="1477"/>
      <c r="J75" s="1477"/>
      <c r="K75" s="1477"/>
      <c r="L75" s="1477"/>
      <c r="M75" s="1477"/>
      <c r="N75" s="1477"/>
      <c r="O75" s="1477"/>
      <c r="P75" s="1477"/>
      <c r="Q75" s="1477"/>
      <c r="R75" s="1477"/>
      <c r="S75" s="1477"/>
      <c r="T75" s="1477"/>
      <c r="U75" s="1477"/>
      <c r="V75" s="1477"/>
      <c r="W75" s="1477"/>
      <c r="X75" s="1477"/>
      <c r="Y75" s="1477"/>
      <c r="Z75" s="1477"/>
      <c r="AA75" s="1477"/>
      <c r="AB75" s="1477"/>
      <c r="AC75" s="1477"/>
      <c r="AD75" s="1477"/>
      <c r="AE75" s="1477"/>
      <c r="AF75" s="1477"/>
      <c r="AG75" s="1478"/>
      <c r="AH75" s="648">
        <f>COUNTIF(C78:AG78,AI75)</f>
        <v>0</v>
      </c>
      <c r="AI75" s="629" t="s">
        <v>360</v>
      </c>
      <c r="AJ75" s="13">
        <v>59</v>
      </c>
      <c r="AL75" s="23"/>
      <c r="AM75" s="31"/>
      <c r="AN75" s="31"/>
      <c r="AO75" s="635">
        <f>Absences2681012149[[#This Row],[debut]]</f>
        <v>0</v>
      </c>
      <c r="AP75" s="13"/>
      <c r="AQ75" s="58"/>
      <c r="AR75" s="58"/>
      <c r="AS75" s="58"/>
      <c r="AT75" s="58"/>
      <c r="AU75" s="958" t="s">
        <v>921</v>
      </c>
      <c r="AV75" s="56"/>
      <c r="AW75" s="56"/>
      <c r="AX75" s="56"/>
      <c r="AY75" s="56"/>
      <c r="AZ75" s="56"/>
      <c r="BA75" s="56"/>
      <c r="BB75" s="56"/>
      <c r="BC75" s="56"/>
      <c r="BD75" s="56"/>
      <c r="BE75" s="56"/>
      <c r="BF75" s="56"/>
    </row>
    <row r="76" spans="1:58" ht="20.25" x14ac:dyDescent="0.25">
      <c r="A76" s="654" t="s">
        <v>662</v>
      </c>
      <c r="B76" s="657">
        <f>COUNTIF(C78:AG78,A76)</f>
        <v>0</v>
      </c>
      <c r="C76" s="6">
        <f t="shared" ref="C76:AG76" si="48">IFERROR(DAY(C74),"")</f>
        <v>1</v>
      </c>
      <c r="D76" s="3">
        <f t="shared" si="48"/>
        <v>2</v>
      </c>
      <c r="E76" s="3">
        <f t="shared" si="48"/>
        <v>3</v>
      </c>
      <c r="F76" s="3">
        <f t="shared" si="48"/>
        <v>4</v>
      </c>
      <c r="G76" s="3">
        <f t="shared" si="48"/>
        <v>5</v>
      </c>
      <c r="H76" s="3">
        <f t="shared" si="48"/>
        <v>6</v>
      </c>
      <c r="I76" s="3">
        <f t="shared" si="48"/>
        <v>7</v>
      </c>
      <c r="J76" s="3">
        <f t="shared" si="48"/>
        <v>8</v>
      </c>
      <c r="K76" s="3">
        <f t="shared" si="48"/>
        <v>9</v>
      </c>
      <c r="L76" s="3">
        <f t="shared" si="48"/>
        <v>10</v>
      </c>
      <c r="M76" s="3">
        <f t="shared" si="48"/>
        <v>11</v>
      </c>
      <c r="N76" s="3">
        <f t="shared" si="48"/>
        <v>12</v>
      </c>
      <c r="O76" s="3">
        <f t="shared" si="48"/>
        <v>13</v>
      </c>
      <c r="P76" s="3">
        <f t="shared" si="48"/>
        <v>14</v>
      </c>
      <c r="Q76" s="3">
        <f t="shared" si="48"/>
        <v>15</v>
      </c>
      <c r="R76" s="3">
        <f t="shared" si="48"/>
        <v>16</v>
      </c>
      <c r="S76" s="3">
        <f t="shared" si="48"/>
        <v>17</v>
      </c>
      <c r="T76" s="3">
        <f t="shared" si="48"/>
        <v>18</v>
      </c>
      <c r="U76" s="3">
        <f t="shared" si="48"/>
        <v>19</v>
      </c>
      <c r="V76" s="3">
        <f t="shared" si="48"/>
        <v>20</v>
      </c>
      <c r="W76" s="3">
        <f t="shared" si="48"/>
        <v>21</v>
      </c>
      <c r="X76" s="3">
        <f t="shared" si="48"/>
        <v>22</v>
      </c>
      <c r="Y76" s="3">
        <f t="shared" si="48"/>
        <v>23</v>
      </c>
      <c r="Z76" s="3">
        <f t="shared" si="48"/>
        <v>24</v>
      </c>
      <c r="AA76" s="3">
        <f t="shared" si="48"/>
        <v>25</v>
      </c>
      <c r="AB76" s="3">
        <f t="shared" si="48"/>
        <v>26</v>
      </c>
      <c r="AC76" s="3">
        <f t="shared" si="48"/>
        <v>27</v>
      </c>
      <c r="AD76" s="3">
        <f t="shared" si="48"/>
        <v>28</v>
      </c>
      <c r="AE76" s="3">
        <f t="shared" si="48"/>
        <v>29</v>
      </c>
      <c r="AF76" s="3">
        <f t="shared" si="48"/>
        <v>30</v>
      </c>
      <c r="AG76" s="7">
        <f t="shared" si="48"/>
        <v>31</v>
      </c>
      <c r="AH76" s="648">
        <f>COUNTIF(C78:AG78,AI76)</f>
        <v>0</v>
      </c>
      <c r="AI76" s="10" t="s">
        <v>6</v>
      </c>
      <c r="AJ76" s="13">
        <v>60</v>
      </c>
      <c r="AL76" s="23"/>
      <c r="AM76" s="31"/>
      <c r="AN76" s="31"/>
      <c r="AO76" s="635">
        <f>Absences2681012149[[#This Row],[debut]]</f>
        <v>0</v>
      </c>
      <c r="AP76" s="13"/>
      <c r="AU76" s="955" t="s">
        <v>922</v>
      </c>
      <c r="AV76" s="956"/>
      <c r="AW76" s="956"/>
      <c r="AX76" s="956"/>
      <c r="AY76" s="956"/>
      <c r="AZ76" s="956"/>
      <c r="BA76" s="956"/>
      <c r="BB76" s="957"/>
      <c r="BC76" s="56"/>
      <c r="BD76" s="56"/>
      <c r="BE76" s="56"/>
      <c r="BF76" s="56"/>
    </row>
    <row r="77" spans="1:58" ht="16.5" customHeight="1" x14ac:dyDescent="0.35">
      <c r="A77" s="655" t="s">
        <v>800</v>
      </c>
      <c r="B77" s="658">
        <f>COUNTIF(C78:AG78,A77)</f>
        <v>0</v>
      </c>
      <c r="C77" s="5">
        <f t="shared" ref="C77:AC77" si="49">IF(C74="","",WEEKDAY(C74,1))</f>
        <v>3</v>
      </c>
      <c r="D77" s="8">
        <f t="shared" si="49"/>
        <v>4</v>
      </c>
      <c r="E77" s="8">
        <f t="shared" si="49"/>
        <v>5</v>
      </c>
      <c r="F77" s="8">
        <f t="shared" si="49"/>
        <v>6</v>
      </c>
      <c r="G77" s="8">
        <f t="shared" si="49"/>
        <v>7</v>
      </c>
      <c r="H77" s="8">
        <f t="shared" si="49"/>
        <v>1</v>
      </c>
      <c r="I77" s="8">
        <f t="shared" si="49"/>
        <v>2</v>
      </c>
      <c r="J77" s="8">
        <f t="shared" si="49"/>
        <v>3</v>
      </c>
      <c r="K77" s="8">
        <f t="shared" si="49"/>
        <v>4</v>
      </c>
      <c r="L77" s="8">
        <f t="shared" si="49"/>
        <v>5</v>
      </c>
      <c r="M77" s="8">
        <f t="shared" si="49"/>
        <v>6</v>
      </c>
      <c r="N77" s="8">
        <f t="shared" si="49"/>
        <v>7</v>
      </c>
      <c r="O77" s="8">
        <f t="shared" si="49"/>
        <v>1</v>
      </c>
      <c r="P77" s="8">
        <f t="shared" si="49"/>
        <v>2</v>
      </c>
      <c r="Q77" s="8">
        <f t="shared" si="49"/>
        <v>3</v>
      </c>
      <c r="R77" s="8">
        <f t="shared" si="49"/>
        <v>4</v>
      </c>
      <c r="S77" s="8">
        <f t="shared" si="49"/>
        <v>5</v>
      </c>
      <c r="T77" s="8">
        <f t="shared" si="49"/>
        <v>6</v>
      </c>
      <c r="U77" s="8">
        <f t="shared" si="49"/>
        <v>7</v>
      </c>
      <c r="V77" s="8">
        <f t="shared" si="49"/>
        <v>1</v>
      </c>
      <c r="W77" s="8">
        <f t="shared" si="49"/>
        <v>2</v>
      </c>
      <c r="X77" s="8">
        <f t="shared" si="49"/>
        <v>3</v>
      </c>
      <c r="Y77" s="8">
        <f t="shared" si="49"/>
        <v>4</v>
      </c>
      <c r="Z77" s="8">
        <f t="shared" si="49"/>
        <v>5</v>
      </c>
      <c r="AA77" s="8">
        <f t="shared" si="49"/>
        <v>6</v>
      </c>
      <c r="AB77" s="8">
        <f t="shared" si="49"/>
        <v>7</v>
      </c>
      <c r="AC77" s="8">
        <f t="shared" si="49"/>
        <v>1</v>
      </c>
      <c r="AD77" s="8">
        <f>IF(AD74="","",WEEKDAY(AD74,1))</f>
        <v>2</v>
      </c>
      <c r="AE77" s="8">
        <f>IF(AE74="","",WEEKDAY(AE74,1))</f>
        <v>3</v>
      </c>
      <c r="AF77" s="8">
        <f t="shared" ref="AF77:AG77" si="50">IF(AF74="","",WEEKDAY(AF74,1))</f>
        <v>4</v>
      </c>
      <c r="AG77" s="9">
        <f t="shared" si="50"/>
        <v>5</v>
      </c>
      <c r="AH77" s="648">
        <f>COUNTIF(C78:AG78,AI77)</f>
        <v>0</v>
      </c>
      <c r="AI77" s="633" t="s">
        <v>799</v>
      </c>
      <c r="AJ77" s="13">
        <v>61</v>
      </c>
      <c r="AL77" s="23"/>
      <c r="AM77" s="31"/>
      <c r="AN77" s="31"/>
      <c r="AO77" s="635">
        <f>Absences2681012149[[#This Row],[debut]]</f>
        <v>0</v>
      </c>
      <c r="AP77" s="13"/>
      <c r="AU77" s="950" t="s">
        <v>560</v>
      </c>
      <c r="AV77" s="951" t="s">
        <v>561</v>
      </c>
      <c r="AW77" s="951" t="s">
        <v>562</v>
      </c>
      <c r="AX77" s="952"/>
      <c r="AY77" s="951" t="s">
        <v>563</v>
      </c>
      <c r="AZ77" s="951" t="s">
        <v>564</v>
      </c>
      <c r="BA77" s="953" t="s">
        <v>565</v>
      </c>
      <c r="BB77" s="954" t="s">
        <v>566</v>
      </c>
      <c r="BC77" s="56"/>
      <c r="BD77" s="56"/>
      <c r="BE77" s="56"/>
      <c r="BF77" s="56"/>
    </row>
    <row r="78" spans="1:58" ht="15.75" customHeight="1" x14ac:dyDescent="0.4">
      <c r="A78" s="679" t="s">
        <v>7</v>
      </c>
      <c r="B78" s="658">
        <f>COUNTIF(C78:AG78,A78)</f>
        <v>0</v>
      </c>
      <c r="C78" s="3" t="str">
        <f t="array" ref="C78">IF(OR(C77=1,C77=7),"",IFERROR(INDEX($AK$17:$AN$116,MATCH(1,(C74&gt;=$AM$17:$AM$116)*($AN$17:$AN$116&gt;=C74)*($AK$17:$AK$116=$U$2),0),2),""))</f>
        <v/>
      </c>
      <c r="D78" s="3" t="str">
        <f t="array" ref="D78">IF(OR(D77=1,D77=7),"",IFERROR(INDEX($AK$17:$AN$116,MATCH(1,(D74&gt;=$AM$17:$AM$116)*($AN$17:$AN$116&gt;=D74)*($AK$17:$AK$116=$U$2),0),2),""))</f>
        <v/>
      </c>
      <c r="E78" s="3" t="str">
        <f t="array" ref="E78">IF(OR(E77=1,E77=7),"",IFERROR(INDEX($AK$17:$AN$116,MATCH(1,(E74&gt;=$AM$17:$AM$116)*($AN$17:$AN$116&gt;=E74)*($AK$17:$AK$116=$U$2),0),2),""))</f>
        <v/>
      </c>
      <c r="F78" s="3" t="str">
        <f t="array" ref="F78">IF(OR(F77=1,F77=7),"",IFERROR(INDEX($AK$17:$AN$116,MATCH(1,(F74&gt;=$AM$17:$AM$116)*($AN$17:$AN$116&gt;=F74)*($AK$17:$AK$116=$U$2),0),2),""))</f>
        <v/>
      </c>
      <c r="G78" s="3" t="str">
        <f t="array" ref="G78">IF(OR(G77=1,G77=7),"",IFERROR(INDEX($AK$17:$AN$116,MATCH(1,(G74&gt;=$AM$17:$AM$116)*($AN$17:$AN$116&gt;=G74)*($AK$17:$AK$116=$U$2),0),2),""))</f>
        <v/>
      </c>
      <c r="H78" s="3" t="str">
        <f t="array" ref="H78">IF(OR(H77=1,H77=7),"",IFERROR(INDEX($AK$17:$AN$116,MATCH(1,(H74&gt;=$AM$17:$AM$116)*($AN$17:$AN$116&gt;=H74)*($AK$17:$AK$116=$U$2),0),2),""))</f>
        <v/>
      </c>
      <c r="I78" s="3" t="str">
        <f t="array" ref="I78">IF(OR(I77=1,I77=7),"",IFERROR(INDEX($AK$17:$AN$116,MATCH(1,(I74&gt;=$AM$17:$AM$116)*($AN$17:$AN$116&gt;=I74)*($AK$17:$AK$116=$U$2),0),2),""))</f>
        <v/>
      </c>
      <c r="J78" s="3" t="str">
        <f t="array" ref="J78">IF(OR(J77=1,J77=7),"",IFERROR(INDEX($AK$17:$AN$116,MATCH(1,(J74&gt;=$AM$17:$AM$116)*($AN$17:$AN$116&gt;=J74)*($AK$17:$AK$116=$U$2),0),2),""))</f>
        <v/>
      </c>
      <c r="K78" s="3" t="str">
        <f t="array" ref="K78">IF(OR(K77=1,K77=7),"",IFERROR(INDEX($AK$17:$AN$116,MATCH(1,(K74&gt;=$AM$17:$AM$116)*($AN$17:$AN$116&gt;=K74)*($AK$17:$AK$116=$U$2),0),2),""))</f>
        <v/>
      </c>
      <c r="L78" s="3" t="str">
        <f t="array" ref="L78">IF(OR(L77=1,L77=7),"",IFERROR(INDEX($AK$17:$AN$116,MATCH(1,(L74&gt;=$AM$17:$AM$116)*($AN$17:$AN$116&gt;=L74)*($AK$17:$AK$116=$U$2),0),2),""))</f>
        <v/>
      </c>
      <c r="M78" s="3" t="str">
        <f t="array" ref="M78">IF(OR(M77=1,M77=7),"",IFERROR(INDEX($AK$17:$AN$116,MATCH(1,(M74&gt;=$AM$17:$AM$116)*($AN$17:$AN$116&gt;=M74)*($AK$17:$AK$116=$U$2),0),2),""))</f>
        <v/>
      </c>
      <c r="N78" s="3" t="str">
        <f t="array" ref="N78">IF(OR(N77=1,N77=7),"",IFERROR(INDEX($AK$17:$AN$116,MATCH(1,(N74&gt;=$AM$17:$AM$116)*($AN$17:$AN$116&gt;=N74)*($AK$17:$AK$116=$U$2),0),2),""))</f>
        <v/>
      </c>
      <c r="O78" s="3" t="str">
        <f t="array" ref="O78">IF(OR(O77=1,O77=7),"",IFERROR(INDEX($AK$17:$AN$116,MATCH(1,(O74&gt;=$AM$17:$AM$116)*($AN$17:$AN$116&gt;=O74)*($AK$17:$AK$116=$U$2),0),2),""))</f>
        <v/>
      </c>
      <c r="P78" s="3" t="str">
        <f t="array" ref="P78">IF(OR(P77=1,P77=7),"",IFERROR(INDEX($AK$17:$AN$116,MATCH(1,(P74&gt;=$AM$17:$AM$116)*($AN$17:$AN$116&gt;=P74)*($AK$17:$AK$116=$U$2),0),2),""))</f>
        <v/>
      </c>
      <c r="Q78" s="3" t="str">
        <f t="array" ref="Q78">IF(OR(Q77=1,Q77=7),"",IFERROR(INDEX($AK$17:$AN$116,MATCH(1,(Q74&gt;=$AM$17:$AM$116)*($AN$17:$AN$116&gt;=Q74)*($AK$17:$AK$116=$U$2),0),2),""))</f>
        <v/>
      </c>
      <c r="R78" s="3" t="str">
        <f t="array" ref="R78">IF(OR(R77=1,R77=7),"",IFERROR(INDEX($AK$17:$AN$116,MATCH(1,(R74&gt;=$AM$17:$AM$116)*($AN$17:$AN$116&gt;=R74)*($AK$17:$AK$116=$U$2),0),2),""))</f>
        <v/>
      </c>
      <c r="S78" s="3" t="str">
        <f t="array" ref="S78">IF(OR(S77=1,S77=7),"",IFERROR(INDEX($AK$17:$AN$116,MATCH(1,(S74&gt;=$AM$17:$AM$116)*($AN$17:$AN$116&gt;=S74)*($AK$17:$AK$116=$U$2),0),2),""))</f>
        <v/>
      </c>
      <c r="T78" s="3" t="str">
        <f t="array" ref="T78">IF(OR(T77=1,T77=7),"",IFERROR(INDEX($AK$17:$AN$116,MATCH(1,(T74&gt;=$AM$17:$AM$116)*($AN$17:$AN$116&gt;=T74)*($AK$17:$AK$116=$U$2),0),2),""))</f>
        <v/>
      </c>
      <c r="U78" s="3" t="str">
        <f t="array" ref="U78">IF(OR(U77=1,U77=7),"",IFERROR(INDEX($AK$17:$AN$116,MATCH(1,(U74&gt;=$AM$17:$AM$116)*($AN$17:$AN$116&gt;=U74)*($AK$17:$AK$116=$U$2),0),2),""))</f>
        <v/>
      </c>
      <c r="V78" s="3" t="str">
        <f t="array" ref="V78">IF(OR(V77=1,V77=7),"",IFERROR(INDEX($AK$17:$AN$116,MATCH(1,(V74&gt;=$AM$17:$AM$116)*($AN$17:$AN$116&gt;=V74)*($AK$17:$AK$116=$U$2),0),2),""))</f>
        <v/>
      </c>
      <c r="W78" s="3" t="str">
        <f t="array" ref="W78">IF(OR(W77=1,W77=7),"",IFERROR(INDEX($AK$17:$AN$116,MATCH(1,(W74&gt;=$AM$17:$AM$116)*($AN$17:$AN$116&gt;=W74)*($AK$17:$AK$116=$U$2),0),2),""))</f>
        <v/>
      </c>
      <c r="X78" s="3" t="str">
        <f t="array" ref="X78">IF(OR(X77=1,X77=7),"",IFERROR(INDEX($AK$17:$AN$116,MATCH(1,(X74&gt;=$AM$17:$AM$116)*($AN$17:$AN$116&gt;=X74)*($AK$17:$AK$116=$U$2),0),2),""))</f>
        <v/>
      </c>
      <c r="Y78" s="3" t="str">
        <f t="array" ref="Y78">IF(OR(Y77=1,Y77=7),"",IFERROR(INDEX($AK$17:$AN$116,MATCH(1,(Y74&gt;=$AM$17:$AM$116)*($AN$17:$AN$116&gt;=Y74)*($AK$17:$AK$116=$U$2),0),2),""))</f>
        <v/>
      </c>
      <c r="Z78" s="3" t="str">
        <f t="array" ref="Z78">IF(OR(Z77=1,Z77=7),"",IFERROR(INDEX($AK$17:$AN$116,MATCH(1,(Z74&gt;=$AM$17:$AM$116)*($AN$17:$AN$116&gt;=Z74)*($AK$17:$AK$116=$U$2),0),2),""))</f>
        <v/>
      </c>
      <c r="AA78" s="3" t="str">
        <f t="array" ref="AA78">IF(OR(AA77=1,AA77=7),"",IFERROR(INDEX($AK$17:$AN$116,MATCH(1,(AA74&gt;=$AM$17:$AM$116)*($AN$17:$AN$116&gt;=AA74)*($AK$17:$AK$116=$U$2),0),2),""))</f>
        <v/>
      </c>
      <c r="AB78" s="3" t="str">
        <f t="array" ref="AB78">IF(OR(AB77=1,AB77=7),"",IFERROR(INDEX($AK$17:$AN$116,MATCH(1,(AB74&gt;=$AM$17:$AM$116)*($AN$17:$AN$116&gt;=AB74)*($AK$17:$AK$116=$U$2),0),2),""))</f>
        <v/>
      </c>
      <c r="AC78" s="3" t="str">
        <f t="array" ref="AC78">IF(OR(AC77=1,AC77=7),"",IFERROR(INDEX($AK$17:$AN$116,MATCH(1,(AC74&gt;=$AM$17:$AM$116)*($AN$17:$AN$116&gt;=AC74)*($AK$17:$AK$116=$U$2),0),2),""))</f>
        <v/>
      </c>
      <c r="AD78" s="3" t="str">
        <f t="array" ref="AD78">IF(OR(AD77=1,AD77=7),"",IFERROR(INDEX($AK$17:$AN$116,MATCH(1,(AD74&gt;=$AM$17:$AM$116)*($AN$17:$AN$116&gt;=AD74)*($AK$17:$AK$116=$U$2),0),2),""))</f>
        <v/>
      </c>
      <c r="AE78" s="3" t="str">
        <f t="array" ref="AE78">IF(OR(AE77=1,AE77=7),"",IFERROR(INDEX($AK$17:$AN$116,MATCH(1,(AE74&gt;=$AM$17:$AM$116)*($AN$17:$AN$116&gt;=AE74)*($AK$17:$AK$116=$U$2),0),2),""))</f>
        <v/>
      </c>
      <c r="AF78" s="3" t="str">
        <f t="array" ref="AF78">IF(OR(AF77=1,AF77=7),"",IFERROR(INDEX($AK$17:$AN$116,MATCH(1,(AF74&gt;=$AM$17:$AM$116)*($AN$17:$AN$116&gt;=AF74)*($AK$17:$AK$116=$U$2),0),2),""))</f>
        <v/>
      </c>
      <c r="AG78" s="3" t="str">
        <f t="array" ref="AG78">IF(OR(AG77=1,AG77=7),"",IFERROR(INDEX($AK$17:$AN$116,MATCH(1,(AG74&gt;=$AM$17:$AM$116)*($AN$17:$AN$116&gt;=AG74)*($AK$17:$AK$116=$U$2),0),2),""))</f>
        <v/>
      </c>
      <c r="AH78" s="648">
        <f>COUNTIF(C78:AG78,AI78)</f>
        <v>0</v>
      </c>
      <c r="AI78" s="639" t="s">
        <v>362</v>
      </c>
      <c r="AJ78" s="13">
        <v>62</v>
      </c>
      <c r="AL78" s="23"/>
      <c r="AM78" s="31"/>
      <c r="AN78" s="31"/>
      <c r="AO78" s="635">
        <f>Absences2681012149[[#This Row],[debut]]</f>
        <v>0</v>
      </c>
      <c r="AP78" s="13"/>
      <c r="AU78" s="934" t="s">
        <v>916</v>
      </c>
      <c r="AV78" s="935" t="s">
        <v>916</v>
      </c>
      <c r="AW78" s="935" t="s">
        <v>916</v>
      </c>
      <c r="AX78" s="936"/>
      <c r="AY78" s="935" t="s">
        <v>916</v>
      </c>
      <c r="AZ78" s="935" t="s">
        <v>916</v>
      </c>
      <c r="BA78" s="937"/>
      <c r="BB78" s="938"/>
      <c r="BC78" s="56"/>
      <c r="BD78" s="56"/>
      <c r="BE78" s="56"/>
      <c r="BF78" s="56"/>
    </row>
    <row r="79" spans="1:58" ht="16.5" customHeight="1" thickBot="1" x14ac:dyDescent="0.45">
      <c r="A79" s="678"/>
      <c r="B79" s="40">
        <f>COUNTA(C79:AG79)</f>
        <v>0</v>
      </c>
      <c r="C79" s="41"/>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677"/>
      <c r="AI79" s="678"/>
      <c r="AJ79" s="13">
        <v>63</v>
      </c>
      <c r="AL79" s="23"/>
      <c r="AM79" s="31"/>
      <c r="AN79" s="31"/>
      <c r="AO79" s="635">
        <f>Absences2681012149[[#This Row],[debut]]</f>
        <v>0</v>
      </c>
      <c r="AP79" s="13"/>
      <c r="AU79" s="934" t="s">
        <v>917</v>
      </c>
      <c r="AV79" s="935" t="s">
        <v>917</v>
      </c>
      <c r="AW79" s="935" t="s">
        <v>917</v>
      </c>
      <c r="AX79" s="936"/>
      <c r="AY79" s="935" t="s">
        <v>917</v>
      </c>
      <c r="AZ79" s="935" t="s">
        <v>917</v>
      </c>
      <c r="BA79" s="935" t="s">
        <v>917</v>
      </c>
      <c r="BB79" s="939" t="s">
        <v>917</v>
      </c>
      <c r="BC79" s="56"/>
      <c r="BD79" s="56"/>
      <c r="BE79" s="56"/>
      <c r="BF79" s="56"/>
    </row>
    <row r="80" spans="1:58" ht="26.25"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v>64</v>
      </c>
      <c r="AL80" s="23"/>
      <c r="AM80" s="31"/>
      <c r="AN80" s="31"/>
      <c r="AO80" s="635">
        <f>Absences2681012149[[#This Row],[debut]]</f>
        <v>0</v>
      </c>
      <c r="AP80" s="13"/>
      <c r="AU80" s="940"/>
      <c r="AV80" s="941" t="s">
        <v>918</v>
      </c>
      <c r="AW80" s="937"/>
      <c r="AX80" s="937"/>
      <c r="AY80" s="937"/>
      <c r="AZ80" s="937"/>
      <c r="BA80" s="941" t="s">
        <v>918</v>
      </c>
      <c r="BB80" s="942" t="s">
        <v>918</v>
      </c>
      <c r="BC80" s="56"/>
      <c r="BD80" s="56"/>
      <c r="BE80" s="56"/>
      <c r="BF80" s="56"/>
    </row>
    <row r="81" spans="1:58" ht="26.25" x14ac:dyDescent="0.4">
      <c r="A81" s="13"/>
      <c r="B81" s="18"/>
      <c r="C81" s="616" t="s">
        <v>801</v>
      </c>
      <c r="D81" s="18"/>
      <c r="E81" s="18"/>
      <c r="F81" s="18"/>
      <c r="G81" s="18"/>
      <c r="H81" s="18"/>
      <c r="I81" s="18"/>
      <c r="J81" s="18"/>
      <c r="K81" s="18"/>
      <c r="L81" s="18"/>
      <c r="M81" s="18"/>
      <c r="N81" s="18"/>
      <c r="O81" s="18"/>
      <c r="P81" s="18"/>
      <c r="Q81" s="18"/>
      <c r="R81" s="263" t="s">
        <v>847</v>
      </c>
      <c r="S81" s="13"/>
      <c r="T81" s="13"/>
      <c r="U81" s="13"/>
      <c r="V81" s="13"/>
      <c r="W81" s="13"/>
      <c r="X81" s="13"/>
      <c r="Y81" s="13"/>
      <c r="Z81" s="13"/>
      <c r="AA81" s="13"/>
      <c r="AB81" s="13"/>
      <c r="AC81" s="13"/>
      <c r="AD81" s="13"/>
      <c r="AE81" s="13"/>
      <c r="AF81" s="13"/>
      <c r="AG81" s="13"/>
      <c r="AH81" s="13"/>
      <c r="AI81" s="13"/>
      <c r="AJ81" s="13">
        <v>65</v>
      </c>
      <c r="AL81" s="23"/>
      <c r="AM81" s="31"/>
      <c r="AN81" s="31"/>
      <c r="AO81" s="635">
        <f>Absences2681012149[[#This Row],[debut]]</f>
        <v>0</v>
      </c>
      <c r="AP81" s="13"/>
      <c r="AU81" s="943" t="s">
        <v>919</v>
      </c>
      <c r="AV81" s="941" t="s">
        <v>919</v>
      </c>
      <c r="AW81" s="944" t="s">
        <v>919</v>
      </c>
      <c r="AX81" s="945"/>
      <c r="AY81" s="941" t="s">
        <v>919</v>
      </c>
      <c r="AZ81" s="941" t="s">
        <v>919</v>
      </c>
      <c r="BA81" s="941" t="s">
        <v>919</v>
      </c>
      <c r="BB81" s="942" t="s">
        <v>919</v>
      </c>
      <c r="BC81" s="56"/>
      <c r="BD81" s="56"/>
      <c r="BE81" s="56"/>
      <c r="BF81" s="56"/>
    </row>
    <row r="82" spans="1:58" ht="26.25" x14ac:dyDescent="0.25">
      <c r="A82" s="13"/>
      <c r="B82" s="18"/>
      <c r="C82" s="614" t="s">
        <v>815</v>
      </c>
      <c r="D82" s="614"/>
      <c r="E82" s="614"/>
      <c r="F82" s="614"/>
      <c r="G82" s="614"/>
      <c r="H82" s="614"/>
      <c r="I82" s="614"/>
      <c r="J82" s="614"/>
      <c r="K82" s="614"/>
      <c r="L82" s="614"/>
      <c r="M82" s="614"/>
      <c r="N82" s="614"/>
      <c r="O82" s="614"/>
      <c r="P82" s="18"/>
      <c r="Q82" s="18"/>
      <c r="R82" s="675" t="s">
        <v>845</v>
      </c>
      <c r="S82" s="13"/>
      <c r="T82" s="13"/>
      <c r="U82" s="13"/>
      <c r="V82" s="13"/>
      <c r="W82" s="13"/>
      <c r="X82" s="13"/>
      <c r="Y82" s="13"/>
      <c r="Z82" s="13"/>
      <c r="AA82" s="13"/>
      <c r="AB82" s="13"/>
      <c r="AC82" s="13"/>
      <c r="AD82" s="13"/>
      <c r="AE82" s="13"/>
      <c r="AF82" s="13"/>
      <c r="AG82" s="13"/>
      <c r="AH82" s="13"/>
      <c r="AI82" s="13"/>
      <c r="AJ82" s="13">
        <v>66</v>
      </c>
      <c r="AL82" s="23"/>
      <c r="AM82" s="31"/>
      <c r="AN82" s="31"/>
      <c r="AO82" s="635">
        <f>Absences2681012149[[#This Row],[debut]]</f>
        <v>0</v>
      </c>
      <c r="AP82" s="13"/>
      <c r="AU82" s="940"/>
      <c r="AV82" s="937"/>
      <c r="AW82" s="935" t="s">
        <v>920</v>
      </c>
      <c r="AX82" s="937"/>
      <c r="AY82" s="937"/>
      <c r="AZ82" s="935" t="s">
        <v>920</v>
      </c>
      <c r="BA82" s="937"/>
      <c r="BB82" s="938"/>
      <c r="BC82" s="960"/>
      <c r="BD82" s="56"/>
      <c r="BE82" s="56"/>
      <c r="BF82" s="56"/>
    </row>
    <row r="83" spans="1:58" ht="26.25" x14ac:dyDescent="0.4">
      <c r="A83" s="13"/>
      <c r="C83" s="634" t="s">
        <v>814</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67</v>
      </c>
      <c r="AL83" s="23"/>
      <c r="AM83" s="31"/>
      <c r="AN83" s="31"/>
      <c r="AO83" s="635">
        <f>Absences2681012149[[#This Row],[debut]]</f>
        <v>0</v>
      </c>
      <c r="AP83" s="13"/>
      <c r="AU83" s="946" t="s">
        <v>557</v>
      </c>
      <c r="AV83" s="937"/>
      <c r="AW83" s="947" t="s">
        <v>557</v>
      </c>
      <c r="AX83" s="945"/>
      <c r="AY83" s="947" t="s">
        <v>557</v>
      </c>
      <c r="AZ83" s="947" t="s">
        <v>557</v>
      </c>
      <c r="BA83" s="937"/>
      <c r="BB83" s="938"/>
      <c r="BC83" s="56"/>
      <c r="BD83" s="56"/>
      <c r="BE83" s="56"/>
      <c r="BF83" s="56"/>
    </row>
    <row r="84" spans="1:58" ht="27" thickBot="1" x14ac:dyDescent="0.3">
      <c r="A84" s="13"/>
      <c r="B84" s="620" t="s">
        <v>184</v>
      </c>
      <c r="C84" s="617" t="s">
        <v>0</v>
      </c>
      <c r="D84" s="18" t="s">
        <v>846</v>
      </c>
      <c r="E84" s="18"/>
      <c r="F84" s="18"/>
      <c r="G84" s="18"/>
      <c r="H84" s="18"/>
      <c r="I84" s="18"/>
      <c r="J84" s="18"/>
      <c r="K84" s="18"/>
      <c r="L84" s="18"/>
      <c r="M84" s="18"/>
      <c r="N84" s="18"/>
      <c r="O84" s="18"/>
      <c r="P84" s="18"/>
      <c r="Q84" s="18"/>
      <c r="R84" s="18"/>
      <c r="S84" s="13"/>
      <c r="T84" s="13" t="s">
        <v>811</v>
      </c>
      <c r="U84" s="13"/>
      <c r="V84" s="13"/>
      <c r="W84" s="13"/>
      <c r="X84" s="13"/>
      <c r="Y84" s="13"/>
      <c r="Z84" s="13"/>
      <c r="AA84" s="13"/>
      <c r="AB84" s="13"/>
      <c r="AC84" s="13"/>
      <c r="AD84" s="13"/>
      <c r="AE84" s="13"/>
      <c r="AF84" s="13"/>
      <c r="AG84" s="13"/>
      <c r="AH84" s="13"/>
      <c r="AI84" s="13"/>
      <c r="AJ84" s="13">
        <v>68</v>
      </c>
      <c r="AL84" s="23"/>
      <c r="AM84" s="31"/>
      <c r="AN84" s="31"/>
      <c r="AO84" s="635">
        <f>Absences2681012149[[#This Row],[debut]]</f>
        <v>0</v>
      </c>
      <c r="AP84" s="13"/>
      <c r="AU84" s="932" t="s">
        <v>913</v>
      </c>
      <c r="AV84" s="963"/>
      <c r="AW84" s="933" t="s">
        <v>913</v>
      </c>
      <c r="AX84" s="933"/>
      <c r="AY84" s="933" t="s">
        <v>913</v>
      </c>
      <c r="AZ84" s="933" t="s">
        <v>913</v>
      </c>
      <c r="BA84" s="948"/>
      <c r="BB84" s="949"/>
      <c r="BC84" s="960"/>
      <c r="BD84" s="56"/>
      <c r="BE84" s="56"/>
      <c r="BF84" s="56"/>
    </row>
    <row r="85" spans="1:58" ht="16.5" x14ac:dyDescent="0.25">
      <c r="A85" s="13"/>
      <c r="B85" s="620" t="s">
        <v>185</v>
      </c>
      <c r="C85" s="612" t="s">
        <v>3</v>
      </c>
      <c r="D85" s="18" t="s">
        <v>802</v>
      </c>
      <c r="E85" s="18"/>
      <c r="F85" s="18"/>
      <c r="G85" s="18"/>
      <c r="H85" s="18"/>
      <c r="I85" s="18"/>
      <c r="J85" s="18"/>
      <c r="K85" s="18"/>
      <c r="L85" s="18"/>
      <c r="M85" s="18"/>
      <c r="N85" s="18"/>
      <c r="O85" s="18"/>
      <c r="P85" s="18"/>
      <c r="Q85" s="18"/>
      <c r="R85" s="18"/>
      <c r="S85" s="13"/>
      <c r="T85" s="13" t="s">
        <v>787</v>
      </c>
      <c r="U85" s="13"/>
      <c r="V85" s="13"/>
      <c r="W85" s="13"/>
      <c r="X85" s="13"/>
      <c r="Y85" s="13"/>
      <c r="Z85" s="13"/>
      <c r="AA85" s="13"/>
      <c r="AB85" s="13"/>
      <c r="AC85" s="13"/>
      <c r="AD85" s="13"/>
      <c r="AE85" s="13"/>
      <c r="AF85" s="13"/>
      <c r="AG85" s="13"/>
      <c r="AH85" s="13"/>
      <c r="AI85" s="13"/>
      <c r="AJ85" s="13">
        <v>69</v>
      </c>
      <c r="AL85" s="23"/>
      <c r="AM85" s="31"/>
      <c r="AN85" s="31"/>
      <c r="AO85" s="635">
        <f>Absences2681012149[[#This Row],[debut]]</f>
        <v>0</v>
      </c>
      <c r="AP85" s="13"/>
      <c r="AU85" s="959" t="s">
        <v>567</v>
      </c>
      <c r="AV85" s="959" t="s">
        <v>568</v>
      </c>
      <c r="AW85" s="959" t="s">
        <v>569</v>
      </c>
      <c r="AX85" s="56"/>
      <c r="AY85" s="959" t="s">
        <v>556</v>
      </c>
      <c r="AZ85" s="959" t="s">
        <v>570</v>
      </c>
      <c r="BA85" s="959" t="s">
        <v>571</v>
      </c>
      <c r="BB85" s="959" t="s">
        <v>572</v>
      </c>
      <c r="BC85" s="56"/>
      <c r="BD85" s="56"/>
      <c r="BE85" s="56"/>
      <c r="BF85" s="56"/>
    </row>
    <row r="86" spans="1:58" ht="18" x14ac:dyDescent="0.25">
      <c r="A86" s="13"/>
      <c r="B86" s="621"/>
      <c r="C86" s="18"/>
      <c r="D86" s="18" t="s">
        <v>805</v>
      </c>
      <c r="E86" s="18"/>
      <c r="F86" s="18"/>
      <c r="G86" s="18"/>
      <c r="H86" s="18"/>
      <c r="I86" s="18"/>
      <c r="J86" s="18"/>
      <c r="K86" s="18"/>
      <c r="L86" s="18"/>
      <c r="M86" s="93"/>
      <c r="N86" s="618"/>
      <c r="O86" s="18"/>
      <c r="P86" s="18"/>
      <c r="Q86" s="18"/>
      <c r="R86" s="18"/>
      <c r="S86" s="13"/>
      <c r="T86" s="13" t="s">
        <v>791</v>
      </c>
      <c r="U86" s="13"/>
      <c r="V86" s="13"/>
      <c r="W86" s="13"/>
      <c r="X86" s="13"/>
      <c r="Y86" s="13"/>
      <c r="Z86" s="13"/>
      <c r="AA86" s="13"/>
      <c r="AB86" s="13"/>
      <c r="AC86" s="13"/>
      <c r="AD86" s="13"/>
      <c r="AE86" s="13"/>
      <c r="AF86" s="13"/>
      <c r="AG86" s="13"/>
      <c r="AH86" s="13"/>
      <c r="AI86" s="13"/>
      <c r="AJ86" s="13">
        <v>70</v>
      </c>
      <c r="AL86" s="23"/>
      <c r="AM86" s="31"/>
      <c r="AN86" s="31"/>
      <c r="AO86" s="635">
        <f>Absences2681012149[[#This Row],[debut]]</f>
        <v>0</v>
      </c>
      <c r="AP86" s="13"/>
      <c r="AU86" s="273">
        <v>1.2708333333333333</v>
      </c>
      <c r="AV86" s="273">
        <v>1.1041666666666667</v>
      </c>
      <c r="AW86" s="273">
        <v>1.3958333333333333</v>
      </c>
      <c r="AY86" s="273">
        <v>1.2708333333333333</v>
      </c>
      <c r="AZ86" s="273">
        <v>1.3541666666666667</v>
      </c>
      <c r="BA86" s="273">
        <v>0.875</v>
      </c>
      <c r="BB86" s="273">
        <v>0.875</v>
      </c>
      <c r="BC86" s="56"/>
      <c r="BD86" s="56"/>
      <c r="BE86" s="56"/>
      <c r="BF86" s="56"/>
    </row>
    <row r="87" spans="1:58" ht="18" x14ac:dyDescent="0.25">
      <c r="A87" s="13"/>
      <c r="B87" s="620" t="s">
        <v>186</v>
      </c>
      <c r="C87" s="612" t="s">
        <v>1</v>
      </c>
      <c r="D87" s="626" t="s">
        <v>2</v>
      </c>
      <c r="E87" s="18" t="s">
        <v>828</v>
      </c>
      <c r="F87" s="18"/>
      <c r="G87" s="18"/>
      <c r="H87" s="18"/>
      <c r="I87" s="18"/>
      <c r="J87" s="18"/>
      <c r="K87" s="18"/>
      <c r="L87" s="18"/>
      <c r="M87" s="18"/>
      <c r="N87" s="18"/>
      <c r="O87" s="18"/>
      <c r="P87" s="18"/>
      <c r="Q87" s="18"/>
      <c r="R87" s="18"/>
      <c r="S87" s="13"/>
      <c r="T87" s="13" t="s">
        <v>788</v>
      </c>
      <c r="U87" s="13"/>
      <c r="V87" s="13"/>
      <c r="W87" s="13"/>
      <c r="X87" s="13"/>
      <c r="Y87" s="13"/>
      <c r="Z87" s="13"/>
      <c r="AA87" s="13"/>
      <c r="AB87" s="13"/>
      <c r="AC87" s="13"/>
      <c r="AD87" s="13"/>
      <c r="AE87" s="13"/>
      <c r="AF87" s="13"/>
      <c r="AG87" s="13"/>
      <c r="AH87" s="13"/>
      <c r="AI87" s="13"/>
      <c r="AJ87" s="13">
        <v>71</v>
      </c>
      <c r="AL87" s="23"/>
      <c r="AM87" s="31"/>
      <c r="AN87" s="31"/>
      <c r="AO87" s="635">
        <f>Absences2681012149[[#This Row],[debut]]</f>
        <v>0</v>
      </c>
      <c r="AP87" s="13"/>
      <c r="AU87" s="960"/>
      <c r="AV87" s="960"/>
      <c r="AW87" s="960"/>
      <c r="AX87" s="960"/>
      <c r="AY87" s="960"/>
      <c r="AZ87" s="960"/>
      <c r="BA87" s="961" t="s">
        <v>555</v>
      </c>
      <c r="BB87" s="961"/>
      <c r="BC87" s="56"/>
      <c r="BD87" s="56"/>
      <c r="BE87" s="56"/>
      <c r="BF87" s="56"/>
    </row>
    <row r="88" spans="1:58" ht="20.25" x14ac:dyDescent="0.25">
      <c r="A88" s="13"/>
      <c r="B88" s="18"/>
      <c r="C88" s="613" t="s">
        <v>362</v>
      </c>
      <c r="D88" s="627" t="s">
        <v>803</v>
      </c>
      <c r="E88" s="18"/>
      <c r="F88" s="18"/>
      <c r="G88" s="18"/>
      <c r="H88" s="18"/>
      <c r="I88" s="18"/>
      <c r="J88" s="18"/>
      <c r="K88" s="18"/>
      <c r="L88" s="18"/>
      <c r="M88" s="18"/>
      <c r="N88" s="18"/>
      <c r="O88" s="18"/>
      <c r="P88" s="18"/>
      <c r="Q88" s="18"/>
      <c r="R88" s="18"/>
      <c r="S88" s="13"/>
      <c r="T88" s="13" t="s">
        <v>789</v>
      </c>
      <c r="U88" s="13"/>
      <c r="V88" s="13"/>
      <c r="W88" s="13"/>
      <c r="X88" s="13"/>
      <c r="Y88" s="13"/>
      <c r="Z88" s="13"/>
      <c r="AA88" s="13"/>
      <c r="AB88" s="13"/>
      <c r="AC88" s="13"/>
      <c r="AD88" s="13"/>
      <c r="AE88" s="13"/>
      <c r="AF88" s="13"/>
      <c r="AG88" s="13"/>
      <c r="AH88" s="13"/>
      <c r="AI88" s="13"/>
      <c r="AJ88" s="13">
        <v>72</v>
      </c>
      <c r="AL88" s="23"/>
      <c r="AM88" s="31"/>
      <c r="AN88" s="31"/>
      <c r="AO88" s="635">
        <f>Absences2681012149[[#This Row],[debut]]</f>
        <v>0</v>
      </c>
      <c r="AP88" s="13"/>
      <c r="AU88" s="960"/>
      <c r="AV88" s="56"/>
      <c r="AW88" s="56"/>
      <c r="AX88" s="56"/>
      <c r="AY88" s="56"/>
      <c r="AZ88" s="962" t="s">
        <v>573</v>
      </c>
      <c r="BA88" s="271">
        <f>SUM(AU86:BB86)</f>
        <v>8.1458333333333321</v>
      </c>
      <c r="BB88" s="272"/>
      <c r="BC88" s="960"/>
      <c r="BD88" s="56"/>
      <c r="BE88" s="56"/>
      <c r="BF88" s="56"/>
    </row>
    <row r="89" spans="1:58" x14ac:dyDescent="0.25">
      <c r="A89" s="13"/>
      <c r="B89" s="18"/>
      <c r="C89" s="18"/>
      <c r="D89" s="18" t="s">
        <v>804</v>
      </c>
      <c r="E89" s="18"/>
      <c r="F89" s="18"/>
      <c r="G89" s="18"/>
      <c r="H89" s="18"/>
      <c r="I89" s="18"/>
      <c r="J89" s="18"/>
      <c r="K89" s="18"/>
      <c r="L89" s="18"/>
      <c r="M89" s="18"/>
      <c r="N89" s="18"/>
      <c r="O89" s="18"/>
      <c r="P89" s="18"/>
      <c r="Q89" s="18"/>
      <c r="R89" s="18"/>
      <c r="S89" s="13"/>
      <c r="T89" s="13" t="s">
        <v>790</v>
      </c>
      <c r="U89" s="13"/>
      <c r="V89" s="13"/>
      <c r="W89" s="13"/>
      <c r="X89" s="13"/>
      <c r="Y89" s="13"/>
      <c r="Z89" s="13"/>
      <c r="AA89" s="13"/>
      <c r="AB89" s="13"/>
      <c r="AC89" s="13"/>
      <c r="AD89" s="13"/>
      <c r="AE89" s="13"/>
      <c r="AF89" s="13"/>
      <c r="AG89" s="13"/>
      <c r="AH89" s="13"/>
      <c r="AI89" s="13"/>
      <c r="AJ89" s="13">
        <v>73</v>
      </c>
      <c r="AL89" s="23"/>
      <c r="AM89" s="31"/>
      <c r="AN89" s="31"/>
      <c r="AO89" s="635">
        <f>Absences2681012149[[#This Row],[debut]]</f>
        <v>0</v>
      </c>
      <c r="AP89" s="13"/>
      <c r="AU89" s="56"/>
      <c r="AV89" s="56"/>
      <c r="AW89" s="56"/>
      <c r="AX89" s="56"/>
      <c r="AY89" s="56"/>
      <c r="AZ89" s="56"/>
      <c r="BA89" s="56"/>
      <c r="BB89" s="56"/>
      <c r="BC89" s="960"/>
      <c r="BD89" s="960"/>
      <c r="BE89" s="960"/>
      <c r="BF89" s="56"/>
    </row>
    <row r="90" spans="1:58" x14ac:dyDescent="0.25">
      <c r="A90" s="13"/>
      <c r="B90" s="18"/>
      <c r="C90" s="18"/>
      <c r="D90" s="18"/>
      <c r="E90" s="18"/>
      <c r="F90" s="18"/>
      <c r="G90" s="18"/>
      <c r="H90" s="18"/>
      <c r="I90" s="18"/>
      <c r="J90" s="18"/>
      <c r="K90" s="18"/>
      <c r="L90" s="18"/>
      <c r="M90" s="18"/>
      <c r="N90" s="18"/>
      <c r="O90" s="18"/>
      <c r="P90" s="18"/>
      <c r="Q90" s="18"/>
      <c r="R90" s="18"/>
      <c r="S90" s="13"/>
      <c r="T90" s="13"/>
      <c r="U90" s="13"/>
      <c r="V90" s="13"/>
      <c r="W90" s="13"/>
      <c r="X90" s="13"/>
      <c r="Y90" s="13"/>
      <c r="Z90" s="13"/>
      <c r="AA90" s="13"/>
      <c r="AB90" s="13"/>
      <c r="AC90" s="13"/>
      <c r="AD90" s="13"/>
      <c r="AE90" s="13"/>
      <c r="AF90" s="13"/>
      <c r="AG90" s="13"/>
      <c r="AH90" s="13"/>
      <c r="AI90" s="13"/>
      <c r="AJ90" s="13">
        <v>74</v>
      </c>
      <c r="AL90" s="23"/>
      <c r="AM90" s="31"/>
      <c r="AN90" s="31"/>
      <c r="AO90" s="635">
        <f>Absences2681012149[[#This Row],[debut]]</f>
        <v>0</v>
      </c>
      <c r="AP90" s="13"/>
      <c r="AU90" s="56"/>
      <c r="AV90" s="56"/>
      <c r="AW90" s="56"/>
      <c r="AX90" s="56"/>
      <c r="AY90" s="56"/>
      <c r="AZ90" s="56"/>
      <c r="BA90" s="56"/>
      <c r="BB90" s="56"/>
      <c r="BC90" s="960"/>
      <c r="BD90" s="960"/>
      <c r="BE90" s="960"/>
      <c r="BF90" s="960"/>
    </row>
    <row r="91" spans="1:58" ht="21" x14ac:dyDescent="0.25">
      <c r="A91" s="13"/>
      <c r="B91" s="622" t="s">
        <v>187</v>
      </c>
      <c r="C91" s="624" t="s">
        <v>837</v>
      </c>
      <c r="D91" s="18"/>
      <c r="E91" s="18"/>
      <c r="F91" s="18"/>
      <c r="G91" s="18"/>
      <c r="H91" s="18"/>
      <c r="I91" s="18"/>
      <c r="J91" s="18"/>
      <c r="K91" s="18"/>
      <c r="L91" s="18"/>
      <c r="M91" s="18"/>
      <c r="N91" s="18"/>
      <c r="O91" s="18"/>
      <c r="P91" s="18"/>
      <c r="Q91" s="18"/>
      <c r="R91" s="18"/>
      <c r="S91" s="13"/>
      <c r="T91" s="13"/>
      <c r="U91" s="13"/>
      <c r="V91" s="13"/>
      <c r="W91" s="13"/>
      <c r="X91" s="13"/>
      <c r="Y91" s="13"/>
      <c r="Z91" s="13"/>
      <c r="AA91" s="13"/>
      <c r="AB91" s="13"/>
      <c r="AC91" s="13"/>
      <c r="AD91" s="13"/>
      <c r="AE91" s="13"/>
      <c r="AF91" s="13"/>
      <c r="AG91" s="13"/>
      <c r="AH91" s="13"/>
      <c r="AI91" s="13"/>
      <c r="AJ91" s="13">
        <v>75</v>
      </c>
      <c r="AL91" s="23"/>
      <c r="AM91" s="31"/>
      <c r="AN91" s="31"/>
      <c r="AO91" s="635">
        <f>Absences2681012149[[#This Row],[debut]]</f>
        <v>0</v>
      </c>
      <c r="AP91" s="13"/>
      <c r="AU91" s="56"/>
      <c r="AV91" s="56"/>
      <c r="AW91" s="56"/>
      <c r="AX91" s="56"/>
      <c r="AY91" s="56"/>
      <c r="AZ91" s="56"/>
      <c r="BA91" s="56"/>
      <c r="BB91" s="56"/>
      <c r="BC91" s="960"/>
      <c r="BD91" s="960"/>
      <c r="BE91" s="960"/>
      <c r="BF91" s="960"/>
    </row>
    <row r="92" spans="1:58" x14ac:dyDescent="0.25">
      <c r="A92" s="13"/>
      <c r="B92" s="18"/>
      <c r="C92" s="615">
        <v>2020</v>
      </c>
      <c r="D92" s="18" t="s">
        <v>806</v>
      </c>
      <c r="E92" s="18"/>
      <c r="F92" s="18"/>
      <c r="G92" s="18"/>
      <c r="H92" s="18"/>
      <c r="I92" s="18"/>
      <c r="J92" s="18"/>
      <c r="K92" s="18"/>
      <c r="L92" s="18"/>
      <c r="M92" s="18"/>
      <c r="N92" s="18"/>
      <c r="O92" s="18"/>
      <c r="P92" s="18"/>
      <c r="Q92" s="18"/>
      <c r="R92" s="18"/>
      <c r="S92" s="13"/>
      <c r="T92" s="13"/>
      <c r="U92" s="13"/>
      <c r="V92" s="13"/>
      <c r="W92" s="13"/>
      <c r="X92" s="13"/>
      <c r="Y92" s="13"/>
      <c r="Z92" s="13"/>
      <c r="AA92" s="13"/>
      <c r="AB92" s="13"/>
      <c r="AC92" s="13"/>
      <c r="AD92" s="13"/>
      <c r="AE92" s="13"/>
      <c r="AF92" s="13"/>
      <c r="AG92" s="13"/>
      <c r="AH92" s="13"/>
      <c r="AI92" s="13"/>
      <c r="AJ92" s="13">
        <v>76</v>
      </c>
      <c r="AL92" s="23"/>
      <c r="AM92" s="31"/>
      <c r="AN92" s="31"/>
      <c r="AO92" s="635">
        <f>Absences2681012149[[#This Row],[debut]]</f>
        <v>0</v>
      </c>
      <c r="AP92" s="13"/>
      <c r="AU92" s="56"/>
      <c r="AV92" s="56"/>
      <c r="AW92" s="56"/>
      <c r="AX92" s="56"/>
      <c r="AY92" s="56"/>
      <c r="AZ92" s="56"/>
      <c r="BA92" s="56"/>
      <c r="BB92" s="56"/>
      <c r="BC92" s="960"/>
      <c r="BD92" s="960"/>
      <c r="BE92" s="960"/>
      <c r="BF92" s="960"/>
    </row>
    <row r="93" spans="1:58" x14ac:dyDescent="0.25">
      <c r="A93" s="13"/>
      <c r="B93" s="18"/>
      <c r="C93" s="1474" t="s">
        <v>5</v>
      </c>
      <c r="D93" s="1474"/>
      <c r="E93" s="18" t="s">
        <v>807</v>
      </c>
      <c r="F93" s="18"/>
      <c r="G93" s="18"/>
      <c r="H93" s="18"/>
      <c r="I93" s="18"/>
      <c r="J93" s="18"/>
      <c r="K93" s="18"/>
      <c r="L93" s="18"/>
      <c r="M93" s="18"/>
      <c r="N93" s="18"/>
      <c r="O93" s="18"/>
      <c r="P93" s="18"/>
      <c r="Q93" s="18"/>
      <c r="R93" s="18"/>
      <c r="S93" s="13"/>
      <c r="T93" s="13"/>
      <c r="U93" s="13"/>
      <c r="V93" s="13"/>
      <c r="W93" s="13"/>
      <c r="X93" s="13"/>
      <c r="Y93" s="13"/>
      <c r="Z93" s="13"/>
      <c r="AA93" s="13"/>
      <c r="AB93" s="13"/>
      <c r="AC93" s="13"/>
      <c r="AD93" s="13"/>
      <c r="AE93" s="13"/>
      <c r="AF93" s="13"/>
      <c r="AG93" s="13"/>
      <c r="AH93" s="13"/>
      <c r="AI93" s="13"/>
      <c r="AJ93" s="13">
        <v>77</v>
      </c>
      <c r="AL93" s="23"/>
      <c r="AM93" s="31"/>
      <c r="AN93" s="31"/>
      <c r="AO93" s="635">
        <f>Absences2681012149[[#This Row],[debut]]</f>
        <v>0</v>
      </c>
      <c r="AP93" s="13"/>
      <c r="AU93" s="56"/>
      <c r="AV93" s="56"/>
      <c r="AW93" s="56"/>
      <c r="AX93" s="56"/>
      <c r="AY93" s="56"/>
      <c r="AZ93" s="56"/>
      <c r="BA93" s="56"/>
      <c r="BB93" s="56"/>
      <c r="BC93" s="960"/>
      <c r="BD93" s="960"/>
      <c r="BE93" s="960"/>
      <c r="BF93" s="960"/>
    </row>
    <row r="94" spans="1:58" ht="18.75" x14ac:dyDescent="0.25">
      <c r="A94" s="13"/>
      <c r="B94" s="18"/>
      <c r="C94" s="1475" t="s">
        <v>36</v>
      </c>
      <c r="D94" s="1475"/>
      <c r="E94" s="18" t="s">
        <v>824</v>
      </c>
      <c r="F94" s="619"/>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c r="AG94" s="13"/>
      <c r="AH94" s="13"/>
      <c r="AI94" s="13"/>
      <c r="AJ94" s="13">
        <v>78</v>
      </c>
      <c r="AL94" s="23"/>
      <c r="AM94" s="31"/>
      <c r="AN94" s="31"/>
      <c r="AO94" s="635">
        <f>Absences2681012149[[#This Row],[debut]]</f>
        <v>0</v>
      </c>
      <c r="AP94" s="13"/>
      <c r="AU94" s="56"/>
      <c r="AV94" s="56"/>
      <c r="AW94" s="56"/>
      <c r="AX94" s="56"/>
      <c r="AY94" s="56"/>
      <c r="AZ94" s="56"/>
      <c r="BA94" s="56"/>
      <c r="BB94" s="960"/>
      <c r="BC94" s="960"/>
      <c r="BD94" s="960"/>
      <c r="BE94" s="960"/>
      <c r="BF94" s="960"/>
    </row>
    <row r="95" spans="1:58" x14ac:dyDescent="0.25">
      <c r="A95" s="13"/>
      <c r="B95" s="13"/>
      <c r="C95" s="13"/>
      <c r="D95" s="13"/>
      <c r="E95" s="13"/>
      <c r="F95" s="13"/>
      <c r="G95" s="13"/>
      <c r="H95" s="13"/>
      <c r="I95" s="18"/>
      <c r="J95" s="18"/>
      <c r="K95" s="18"/>
      <c r="L95" s="18"/>
      <c r="M95" s="18"/>
      <c r="N95" s="18"/>
      <c r="O95" s="18"/>
      <c r="P95" s="18"/>
      <c r="Q95" s="18"/>
      <c r="R95" s="18"/>
      <c r="S95" s="13"/>
      <c r="T95" s="13"/>
      <c r="U95" s="13"/>
      <c r="V95" s="13"/>
      <c r="W95" s="13"/>
      <c r="X95" s="13"/>
      <c r="Y95" s="13"/>
      <c r="Z95" s="13"/>
      <c r="AA95" s="13"/>
      <c r="AB95" s="13"/>
      <c r="AC95" s="13"/>
      <c r="AD95" s="13"/>
      <c r="AE95" s="13"/>
      <c r="AF95" s="13"/>
      <c r="AG95" s="13"/>
      <c r="AH95" s="13"/>
      <c r="AI95" s="13"/>
      <c r="AJ95" s="13">
        <v>79</v>
      </c>
      <c r="AL95" s="23"/>
      <c r="AM95" s="31"/>
      <c r="AN95" s="31"/>
      <c r="AO95" s="635">
        <f>Absences2681012149[[#This Row],[debut]]</f>
        <v>0</v>
      </c>
      <c r="AP95" s="13"/>
      <c r="AU95" s="56"/>
      <c r="AV95" s="56"/>
      <c r="AW95" s="56"/>
      <c r="AX95" s="56"/>
      <c r="AY95" s="56"/>
      <c r="AZ95" s="56"/>
      <c r="BA95" s="56"/>
      <c r="BB95" s="960"/>
      <c r="BC95" s="960"/>
      <c r="BD95" s="960"/>
      <c r="BE95" s="960"/>
      <c r="BF95" s="960"/>
    </row>
    <row r="96" spans="1:58" ht="21" x14ac:dyDescent="0.25">
      <c r="A96" s="13"/>
      <c r="B96" s="13"/>
      <c r="C96" s="624" t="s">
        <v>838</v>
      </c>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80</v>
      </c>
      <c r="AL96" s="23"/>
      <c r="AM96" s="31"/>
      <c r="AN96" s="31"/>
      <c r="AO96" s="635">
        <f>Absences2681012149[[#This Row],[debut]]</f>
        <v>0</v>
      </c>
      <c r="AP96" s="13"/>
      <c r="AU96" s="56"/>
      <c r="AV96" s="56"/>
      <c r="AW96" s="56"/>
      <c r="AX96" s="56"/>
      <c r="AY96" s="56"/>
      <c r="AZ96" s="56"/>
      <c r="BA96" s="56"/>
      <c r="BB96" s="56"/>
      <c r="BC96" s="56"/>
      <c r="BD96" s="56"/>
      <c r="BE96" s="56"/>
      <c r="BF96" s="56"/>
    </row>
    <row r="97" spans="1:58" ht="16.5" thickBot="1" x14ac:dyDescent="0.3">
      <c r="A97" s="13"/>
      <c r="B97" s="13"/>
      <c r="C97" s="685" t="s">
        <v>37</v>
      </c>
      <c r="D97" s="45" t="s">
        <v>834</v>
      </c>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81</v>
      </c>
      <c r="AL97" s="23"/>
      <c r="AM97" s="31"/>
      <c r="AN97" s="31"/>
      <c r="AO97" s="635">
        <f>Absences2681012149[[#This Row],[debut]]</f>
        <v>0</v>
      </c>
      <c r="AP97" s="13"/>
      <c r="AU97" s="389"/>
      <c r="AV97" s="389"/>
      <c r="AW97" s="389"/>
      <c r="AX97" s="389"/>
      <c r="AY97" s="389"/>
      <c r="AZ97" s="389"/>
      <c r="BA97" s="389"/>
      <c r="BB97" s="389"/>
      <c r="BC97" s="389"/>
      <c r="BD97" s="389"/>
      <c r="BE97" s="389"/>
      <c r="BF97" s="389"/>
    </row>
    <row r="98" spans="1:58" ht="16.5" thickBot="1" x14ac:dyDescent="0.3">
      <c r="A98" s="13"/>
      <c r="B98" s="13"/>
      <c r="C98" s="94" t="s">
        <v>79</v>
      </c>
      <c r="D98" s="45" t="s">
        <v>502</v>
      </c>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82</v>
      </c>
      <c r="AL98" s="23"/>
      <c r="AM98" s="31"/>
      <c r="AN98" s="31"/>
      <c r="AO98" s="635">
        <f>Absences2681012149[[#This Row],[debut]]</f>
        <v>0</v>
      </c>
      <c r="AP98" s="13"/>
      <c r="AU98" s="386"/>
      <c r="AV98" s="386"/>
      <c r="AW98" s="386"/>
      <c r="AX98" s="386"/>
      <c r="AY98" s="386"/>
      <c r="AZ98" s="386"/>
      <c r="BA98" s="386"/>
      <c r="BB98" s="386"/>
      <c r="BC98" s="386"/>
      <c r="BD98" s="386"/>
      <c r="BE98" s="386"/>
      <c r="BF98" s="386"/>
    </row>
    <row r="99" spans="1:58" x14ac:dyDescent="0.25">
      <c r="A99" s="13"/>
      <c r="B99" s="13"/>
      <c r="C99" s="594" t="s">
        <v>840</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83</v>
      </c>
      <c r="AL99" s="23"/>
      <c r="AM99" s="31"/>
      <c r="AN99" s="31"/>
      <c r="AO99" s="635">
        <f>Absences2681012149[[#This Row],[debut]]</f>
        <v>0</v>
      </c>
      <c r="AP99" s="13"/>
      <c r="AU99" s="386"/>
      <c r="AV99" s="386"/>
      <c r="AW99" s="386"/>
      <c r="AX99" s="386"/>
      <c r="AY99" s="386"/>
      <c r="AZ99" s="386"/>
      <c r="BA99" s="386"/>
      <c r="BB99" s="386"/>
      <c r="BC99" s="386"/>
      <c r="BD99" s="386"/>
      <c r="BE99" s="386"/>
      <c r="BF99" s="386"/>
    </row>
    <row r="100" spans="1:58" ht="16.5" thickBot="1" x14ac:dyDescent="0.3">
      <c r="A100" s="13"/>
      <c r="B100" s="13"/>
      <c r="C100" s="42"/>
      <c r="D100" s="45" t="s">
        <v>839</v>
      </c>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v>84</v>
      </c>
      <c r="AL100" s="23"/>
      <c r="AM100" s="31"/>
      <c r="AN100" s="31"/>
      <c r="AO100" s="635">
        <f>Absences2681012149[[#This Row],[debut]]</f>
        <v>0</v>
      </c>
      <c r="AP100" s="13"/>
      <c r="AU100" s="386"/>
      <c r="AV100" s="386"/>
      <c r="AW100" s="386"/>
      <c r="AX100" s="386"/>
      <c r="AY100" s="386"/>
      <c r="AZ100" s="386"/>
      <c r="BA100" s="386"/>
      <c r="BB100" s="386"/>
      <c r="BC100" s="386"/>
      <c r="BD100" s="386"/>
      <c r="BE100" s="386"/>
      <c r="BF100" s="386"/>
    </row>
    <row r="101" spans="1:58"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85</v>
      </c>
      <c r="AL101" s="23"/>
      <c r="AM101" s="31"/>
      <c r="AN101" s="31"/>
      <c r="AO101" s="635">
        <f>Absences2681012149[[#This Row],[debut]]</f>
        <v>0</v>
      </c>
      <c r="AP101" s="13"/>
      <c r="AU101" s="386"/>
      <c r="AV101" s="386"/>
      <c r="AW101" s="386"/>
      <c r="AX101" s="386"/>
      <c r="AY101" s="386"/>
      <c r="AZ101" s="386"/>
      <c r="BA101" s="386"/>
      <c r="BB101" s="386"/>
      <c r="BC101" s="386"/>
      <c r="BD101" s="386"/>
      <c r="BE101" s="386"/>
      <c r="BF101" s="386"/>
    </row>
    <row r="102" spans="1:58" ht="21" x14ac:dyDescent="0.25">
      <c r="A102" s="13"/>
      <c r="B102" s="18"/>
      <c r="C102" s="625" t="s">
        <v>810</v>
      </c>
      <c r="D102" s="18"/>
      <c r="E102" s="18"/>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86</v>
      </c>
      <c r="AL102" s="23"/>
      <c r="AM102" s="31"/>
      <c r="AN102" s="31"/>
      <c r="AO102" s="635">
        <f>Absences2681012149[[#This Row],[debut]]</f>
        <v>0</v>
      </c>
      <c r="AP102" s="13"/>
      <c r="AU102" s="56"/>
      <c r="AV102" s="56"/>
      <c r="AW102" s="56"/>
      <c r="AX102" s="56"/>
      <c r="AY102" s="56"/>
      <c r="AZ102" s="56"/>
      <c r="BA102" s="56"/>
      <c r="BB102" s="56"/>
      <c r="BC102" s="56"/>
      <c r="BD102" s="56"/>
      <c r="BE102" s="56"/>
      <c r="BF102" s="56"/>
    </row>
    <row r="103" spans="1:58" x14ac:dyDescent="0.25">
      <c r="A103" s="13"/>
      <c r="B103" s="13" t="s">
        <v>135</v>
      </c>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87</v>
      </c>
      <c r="AL103" s="23"/>
      <c r="AM103" s="31"/>
      <c r="AN103" s="31"/>
      <c r="AO103" s="635">
        <f>Absences2681012149[[#This Row],[debut]]</f>
        <v>0</v>
      </c>
      <c r="AP103" s="13"/>
      <c r="AU103" s="56"/>
      <c r="AV103" s="56"/>
      <c r="AW103" s="56"/>
      <c r="AX103" s="56"/>
      <c r="AY103" s="56"/>
      <c r="AZ103" s="56"/>
      <c r="BA103" s="56"/>
      <c r="BB103" s="56"/>
      <c r="BC103" s="56"/>
      <c r="BD103" s="56"/>
      <c r="BE103" s="56"/>
      <c r="BF103" s="56"/>
    </row>
    <row r="104" spans="1:58" x14ac:dyDescent="0.25">
      <c r="A104" s="13"/>
      <c r="B104" s="13" t="s">
        <v>136</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88</v>
      </c>
      <c r="AL104" s="23"/>
      <c r="AM104" s="31"/>
      <c r="AN104" s="31"/>
      <c r="AO104" s="635">
        <f>Absences2681012149[[#This Row],[debut]]</f>
        <v>0</v>
      </c>
      <c r="AP104" s="13"/>
    </row>
    <row r="105" spans="1:58" x14ac:dyDescent="0.25">
      <c r="A105" s="13"/>
      <c r="B105" s="13"/>
      <c r="C105" s="13" t="s">
        <v>36</v>
      </c>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v>89</v>
      </c>
      <c r="AL105" s="23"/>
      <c r="AM105" s="31"/>
      <c r="AN105" s="31"/>
      <c r="AO105" s="635">
        <f>Absences2681012149[[#This Row],[debut]]</f>
        <v>0</v>
      </c>
      <c r="AP105" s="13"/>
    </row>
    <row r="106" spans="1:58" x14ac:dyDescent="0.25">
      <c r="A106" s="13"/>
      <c r="B106" s="13"/>
      <c r="C106" s="13" t="s">
        <v>137</v>
      </c>
      <c r="D106" s="13"/>
      <c r="E106" s="13"/>
      <c r="F106" s="18"/>
      <c r="G106" s="18"/>
      <c r="H106" s="18"/>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90</v>
      </c>
      <c r="AL106" s="23"/>
      <c r="AM106" s="31"/>
      <c r="AN106" s="31"/>
      <c r="AO106" s="635">
        <f>Absences2681012149[[#This Row],[debut]]</f>
        <v>0</v>
      </c>
      <c r="AP106" s="13"/>
    </row>
    <row r="107" spans="1:58" x14ac:dyDescent="0.25">
      <c r="A107" s="13"/>
      <c r="B107" s="13"/>
      <c r="C107" s="13" t="s">
        <v>138</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91</v>
      </c>
      <c r="AL107" s="23"/>
      <c r="AM107" s="31"/>
      <c r="AN107" s="31"/>
      <c r="AO107" s="635">
        <f>Absences2681012149[[#This Row],[debut]]</f>
        <v>0</v>
      </c>
      <c r="AP107" s="13"/>
    </row>
    <row r="108" spans="1:58" x14ac:dyDescent="0.25">
      <c r="A108" s="13"/>
      <c r="B108" s="13"/>
      <c r="C108" s="13" t="s">
        <v>812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92</v>
      </c>
      <c r="AL108" s="23"/>
      <c r="AM108" s="31"/>
      <c r="AN108" s="31"/>
      <c r="AO108" s="635">
        <f>Absences2681012149[[#This Row],[debut]]</f>
        <v>0</v>
      </c>
      <c r="AP108" s="13"/>
    </row>
    <row r="109" spans="1:58"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93</v>
      </c>
      <c r="AL109" s="23"/>
      <c r="AM109" s="31"/>
      <c r="AN109" s="31"/>
      <c r="AO109" s="635">
        <f>Absences2681012149[[#This Row],[debut]]</f>
        <v>0</v>
      </c>
      <c r="AP109" s="13"/>
    </row>
    <row r="110" spans="1:58" ht="21" x14ac:dyDescent="0.25">
      <c r="A110" s="13"/>
      <c r="B110" s="13"/>
      <c r="C110" s="625" t="s">
        <v>825</v>
      </c>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v>94</v>
      </c>
      <c r="AL110" s="23"/>
      <c r="AM110" s="31"/>
      <c r="AN110" s="31"/>
      <c r="AO110" s="635">
        <f>Absences2681012149[[#This Row],[debut]]</f>
        <v>0</v>
      </c>
      <c r="AP110" s="13"/>
    </row>
    <row r="111" spans="1:58"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95</v>
      </c>
      <c r="AL111" s="23"/>
      <c r="AM111" s="31"/>
      <c r="AN111" s="31"/>
      <c r="AO111" s="635">
        <f>Absences2681012149[[#This Row],[debut]]</f>
        <v>0</v>
      </c>
      <c r="AP111" s="13"/>
    </row>
    <row r="112" spans="1:58"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96</v>
      </c>
      <c r="AL112" s="23"/>
      <c r="AM112" s="31"/>
      <c r="AN112" s="31"/>
      <c r="AO112" s="635">
        <f>Absences2681012149[[#This Row],[debut]]</f>
        <v>0</v>
      </c>
      <c r="AP112" s="13"/>
    </row>
    <row r="113" spans="1:42"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97</v>
      </c>
      <c r="AL113" s="23"/>
      <c r="AM113" s="31"/>
      <c r="AN113" s="31"/>
      <c r="AO113" s="635">
        <f>Absences2681012149[[#This Row],[debut]]</f>
        <v>0</v>
      </c>
      <c r="AP113" s="13"/>
    </row>
    <row r="114" spans="1:42"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98</v>
      </c>
      <c r="AL114" s="23"/>
      <c r="AM114" s="31"/>
      <c r="AN114" s="31"/>
      <c r="AO114" s="635">
        <f>Absences2681012149[[#This Row],[debut]]</f>
        <v>0</v>
      </c>
      <c r="AP114" s="13"/>
    </row>
    <row r="115" spans="1:42"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v>99</v>
      </c>
      <c r="AL115" s="23"/>
      <c r="AM115" s="31"/>
      <c r="AN115" s="31"/>
      <c r="AO115" s="635">
        <f>Absences2681012149[[#This Row],[debut]]</f>
        <v>0</v>
      </c>
      <c r="AP115" s="13"/>
    </row>
    <row r="116" spans="1:42"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100</v>
      </c>
      <c r="AL116" s="23"/>
      <c r="AM116" s="31"/>
      <c r="AN116" s="31"/>
      <c r="AO116" s="635">
        <f>Absences2681012149[[#This Row],[debut]]</f>
        <v>0</v>
      </c>
      <c r="AP116" s="13"/>
    </row>
    <row r="117" spans="1:42"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row>
    <row r="118" spans="1:42"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row>
    <row r="119" spans="1:42"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row>
    <row r="120" spans="1:42" x14ac:dyDescent="0.25">
      <c r="A120" s="13"/>
      <c r="AH120" s="13"/>
    </row>
    <row r="121" spans="1:42" x14ac:dyDescent="0.25">
      <c r="AH121" s="13"/>
    </row>
    <row r="122" spans="1:42" ht="15.75" customHeight="1" x14ac:dyDescent="0.25">
      <c r="AH122" s="13"/>
    </row>
    <row r="123" spans="1:42" ht="15.75" customHeight="1" x14ac:dyDescent="0.25">
      <c r="AH123" s="13"/>
    </row>
    <row r="124" spans="1:42" ht="15.75" customHeight="1" x14ac:dyDescent="0.25">
      <c r="C124" s="625" t="s">
        <v>1046</v>
      </c>
      <c r="AH124" s="13"/>
    </row>
    <row r="125" spans="1:42" ht="15.75" customHeight="1" x14ac:dyDescent="0.25">
      <c r="AH125" s="13"/>
    </row>
    <row r="126" spans="1:42" ht="15.75" customHeight="1" x14ac:dyDescent="0.25">
      <c r="AH126" s="13"/>
    </row>
    <row r="127" spans="1:42" ht="15.75" customHeight="1" x14ac:dyDescent="0.25">
      <c r="AH127" s="13"/>
    </row>
    <row r="128" spans="1:42" ht="15.75" customHeight="1" x14ac:dyDescent="0.25">
      <c r="AH128" s="13"/>
    </row>
    <row r="129" spans="34:34" ht="15.75" customHeight="1" x14ac:dyDescent="0.25">
      <c r="AH129" s="13"/>
    </row>
    <row r="130" spans="34:34" ht="15.75" customHeight="1" x14ac:dyDescent="0.25">
      <c r="AH130" s="13"/>
    </row>
    <row r="131" spans="34:34" ht="15.75" customHeight="1" x14ac:dyDescent="0.25">
      <c r="AH131" s="13"/>
    </row>
    <row r="132" spans="34:34" ht="15.75" customHeight="1" x14ac:dyDescent="0.25">
      <c r="AH132" s="13"/>
    </row>
    <row r="133" spans="34:34" ht="15.75" customHeight="1" x14ac:dyDescent="0.25">
      <c r="AH133" s="13"/>
    </row>
    <row r="134" spans="34:34" ht="15.75" customHeight="1" x14ac:dyDescent="0.25">
      <c r="AH134" s="13"/>
    </row>
    <row r="135" spans="34:34" ht="15.75" customHeight="1" x14ac:dyDescent="0.25">
      <c r="AH135" s="13"/>
    </row>
    <row r="136" spans="34:34" ht="15.75" customHeight="1" x14ac:dyDescent="0.25">
      <c r="AH136" s="13"/>
    </row>
    <row r="137" spans="34:34" ht="15.75" customHeight="1" x14ac:dyDescent="0.25">
      <c r="AH137" s="13"/>
    </row>
    <row r="138" spans="34:34" ht="15.75" customHeight="1" x14ac:dyDescent="0.25">
      <c r="AH138" s="13"/>
    </row>
    <row r="139" spans="34:34" ht="15.75" customHeight="1" x14ac:dyDescent="0.25">
      <c r="AH139" s="13"/>
    </row>
    <row r="140" spans="34:34" ht="15.75" customHeight="1" x14ac:dyDescent="0.25">
      <c r="AH140" s="13"/>
    </row>
    <row r="141" spans="34:34" ht="15.75" customHeight="1" x14ac:dyDescent="0.25">
      <c r="AH141" s="13"/>
    </row>
    <row r="142" spans="34:34" ht="15.75" customHeight="1" x14ac:dyDescent="0.25">
      <c r="AH142" s="13"/>
    </row>
    <row r="143" spans="34:34" ht="15.75" customHeight="1" x14ac:dyDescent="0.25">
      <c r="AH143" s="13"/>
    </row>
    <row r="144" spans="34:34" ht="15.75" customHeight="1" x14ac:dyDescent="0.25">
      <c r="AH144" s="13"/>
    </row>
    <row r="145" spans="34:34" ht="15.75" customHeight="1" x14ac:dyDescent="0.25">
      <c r="AH145" s="13"/>
    </row>
    <row r="146" spans="34:34" ht="15.75" customHeight="1" x14ac:dyDescent="0.25">
      <c r="AH146" s="13"/>
    </row>
    <row r="147" spans="34:34" ht="15.75" customHeight="1" x14ac:dyDescent="0.25">
      <c r="AH147" s="13"/>
    </row>
    <row r="148" spans="34:34" ht="15.75" customHeight="1" x14ac:dyDescent="0.25">
      <c r="AH148" s="13"/>
    </row>
    <row r="149" spans="34:34" ht="15.75" customHeight="1" x14ac:dyDescent="0.25">
      <c r="AH149" s="13"/>
    </row>
    <row r="150" spans="34:34" ht="15.75" customHeight="1" x14ac:dyDescent="0.25">
      <c r="AH150" s="13"/>
    </row>
    <row r="151" spans="34:34" ht="15.75" customHeight="1" x14ac:dyDescent="0.25">
      <c r="AH151" s="13"/>
    </row>
    <row r="152" spans="34:34" ht="15.75" customHeight="1" x14ac:dyDescent="0.25">
      <c r="AH152" s="13"/>
    </row>
    <row r="153" spans="34:34" ht="15.75" customHeight="1" x14ac:dyDescent="0.25">
      <c r="AH153" s="13"/>
    </row>
    <row r="154" spans="34:34" ht="15.75" customHeight="1" x14ac:dyDescent="0.25">
      <c r="AH154" s="13"/>
    </row>
    <row r="155" spans="34:34" ht="15.75" customHeight="1" x14ac:dyDescent="0.25">
      <c r="AH155" s="13"/>
    </row>
    <row r="156" spans="34:34" ht="15.75" customHeight="1" x14ac:dyDescent="0.25">
      <c r="AH156" s="13"/>
    </row>
    <row r="157" spans="34:34" ht="15.75" customHeight="1" x14ac:dyDescent="0.25">
      <c r="AH157" s="13"/>
    </row>
    <row r="158" spans="34:34" ht="15.75" customHeight="1" x14ac:dyDescent="0.25">
      <c r="AH158" s="13"/>
    </row>
    <row r="159" spans="34:34" ht="15.75" customHeight="1" x14ac:dyDescent="0.25">
      <c r="AH159" s="13"/>
    </row>
    <row r="160" spans="34:34" ht="15.75" customHeight="1" x14ac:dyDescent="0.25">
      <c r="AH160" s="13"/>
    </row>
    <row r="161" spans="34:34" ht="15.75" customHeight="1" x14ac:dyDescent="0.25">
      <c r="AH161" s="13"/>
    </row>
    <row r="162" spans="34:34" ht="15.75" customHeight="1" x14ac:dyDescent="0.25">
      <c r="AH162" s="13"/>
    </row>
    <row r="163" spans="34:34" ht="15.75" customHeight="1" x14ac:dyDescent="0.25">
      <c r="AH163" s="13"/>
    </row>
    <row r="164" spans="34:34" ht="15.75" customHeight="1" x14ac:dyDescent="0.25">
      <c r="AH164" s="13"/>
    </row>
    <row r="165" spans="34:34" ht="15.75" customHeight="1" x14ac:dyDescent="0.25">
      <c r="AH165" s="13"/>
    </row>
    <row r="166" spans="34:34" ht="15.75" customHeight="1" x14ac:dyDescent="0.25">
      <c r="AH166" s="13"/>
    </row>
    <row r="167" spans="34:34" ht="15.75" customHeight="1" x14ac:dyDescent="0.25">
      <c r="AH167" s="13"/>
    </row>
    <row r="168" spans="34:34" ht="15.75" customHeight="1" x14ac:dyDescent="0.25">
      <c r="AH168" s="13"/>
    </row>
    <row r="169" spans="34:34" ht="15.75" customHeight="1" x14ac:dyDescent="0.25">
      <c r="AH169" s="13"/>
    </row>
    <row r="170" spans="34:34" ht="15.75" customHeight="1" x14ac:dyDescent="0.25">
      <c r="AH170" s="13"/>
    </row>
    <row r="171" spans="34:34" ht="15.75" customHeight="1" x14ac:dyDescent="0.25">
      <c r="AH171" s="13"/>
    </row>
    <row r="172" spans="34:34" ht="15.75" customHeight="1" x14ac:dyDescent="0.25">
      <c r="AH172" s="13"/>
    </row>
    <row r="173" spans="34:34" ht="15.75" customHeight="1" x14ac:dyDescent="0.25">
      <c r="AH173" s="13"/>
    </row>
    <row r="174" spans="34:34" ht="15.75" customHeight="1" x14ac:dyDescent="0.25">
      <c r="AH174" s="13"/>
    </row>
    <row r="175" spans="34:34" ht="15.75" customHeight="1" x14ac:dyDescent="0.25">
      <c r="AH175" s="13"/>
    </row>
    <row r="176" spans="34:34" ht="15.75" customHeight="1" x14ac:dyDescent="0.25">
      <c r="AH176" s="13"/>
    </row>
    <row r="177" spans="34:34" ht="15.75" customHeight="1" x14ac:dyDescent="0.25">
      <c r="AH177" s="13"/>
    </row>
    <row r="178" spans="34:34" ht="15.75" customHeight="1" x14ac:dyDescent="0.25">
      <c r="AH178" s="13"/>
    </row>
    <row r="179" spans="34:34" ht="15.75" customHeight="1" x14ac:dyDescent="0.25">
      <c r="AH179" s="13"/>
    </row>
    <row r="180" spans="34:34" ht="15.75" customHeight="1" x14ac:dyDescent="0.25">
      <c r="AH180" s="13"/>
    </row>
    <row r="181" spans="34:34" ht="15.75" customHeight="1" x14ac:dyDescent="0.25">
      <c r="AH181" s="13"/>
    </row>
    <row r="182" spans="34:34" ht="15.75" customHeight="1" x14ac:dyDescent="0.25">
      <c r="AH182" s="13"/>
    </row>
    <row r="183" spans="34:34" ht="15.75" customHeight="1" x14ac:dyDescent="0.25">
      <c r="AH183" s="13"/>
    </row>
    <row r="184" spans="34:34" ht="15.75" customHeight="1" x14ac:dyDescent="0.25"/>
    <row r="185" spans="34:34" ht="15.75" customHeight="1" x14ac:dyDescent="0.25"/>
    <row r="186" spans="34:34" ht="15.75" customHeight="1" x14ac:dyDescent="0.25"/>
    <row r="187" spans="34:34" ht="15.75" customHeight="1" x14ac:dyDescent="0.25"/>
    <row r="188" spans="34:34" ht="15.75" customHeight="1" x14ac:dyDescent="0.25"/>
    <row r="189" spans="34:34" ht="15.75" customHeight="1" x14ac:dyDescent="0.25"/>
    <row r="190" spans="34:34" ht="15.75" customHeight="1" x14ac:dyDescent="0.25"/>
    <row r="191" spans="34:34" ht="15.75" customHeight="1" x14ac:dyDescent="0.25"/>
    <row r="192" spans="34:34"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sheetData>
  <mergeCells count="35">
    <mergeCell ref="BZ2:CE3"/>
    <mergeCell ref="BZ4:CB4"/>
    <mergeCell ref="CD4:CE4"/>
    <mergeCell ref="CD5:CE5"/>
    <mergeCell ref="BZ20:CB20"/>
    <mergeCell ref="C93:D93"/>
    <mergeCell ref="C94:D94"/>
    <mergeCell ref="A1:AI1"/>
    <mergeCell ref="C51:AG51"/>
    <mergeCell ref="C57:AG57"/>
    <mergeCell ref="C63:AG63"/>
    <mergeCell ref="C69:AG69"/>
    <mergeCell ref="C9:AG9"/>
    <mergeCell ref="C2:G3"/>
    <mergeCell ref="I2:Q3"/>
    <mergeCell ref="U2:AG3"/>
    <mergeCell ref="AU69:BF70"/>
    <mergeCell ref="C75:AG75"/>
    <mergeCell ref="C27:AG27"/>
    <mergeCell ref="C33:AG33"/>
    <mergeCell ref="AU34:BF36"/>
    <mergeCell ref="C39:AG39"/>
    <mergeCell ref="C45:AG45"/>
    <mergeCell ref="AU48:BF50"/>
    <mergeCell ref="AU74:BB74"/>
    <mergeCell ref="AO12:AO13"/>
    <mergeCell ref="AQ14:AR14"/>
    <mergeCell ref="C15:AG15"/>
    <mergeCell ref="AK15:AO15"/>
    <mergeCell ref="C21:AG21"/>
    <mergeCell ref="AU2:BC2"/>
    <mergeCell ref="I4:Q7"/>
    <mergeCell ref="AU4:BF4"/>
    <mergeCell ref="AU5:AU7"/>
    <mergeCell ref="AX7:BA7"/>
  </mergeCells>
  <conditionalFormatting sqref="C10:AG12">
    <cfRule type="expression" dxfId="404" priority="12">
      <formula>C$8=VLOOKUP(C$8,$BZ$5:$CA$18,2,0)</formula>
    </cfRule>
    <cfRule type="expression" dxfId="403" priority="179">
      <formula>OR(C$11=1,C$11=7)</formula>
    </cfRule>
  </conditionalFormatting>
  <conditionalFormatting sqref="C16:AG18">
    <cfRule type="expression" dxfId="402" priority="11">
      <formula>C$14=VLOOKUP(C$14,$BZ$5:$CA$18,2,0)</formula>
    </cfRule>
    <cfRule type="expression" dxfId="401" priority="174">
      <formula>OR(C$17=1,C$17=7)</formula>
    </cfRule>
  </conditionalFormatting>
  <conditionalFormatting sqref="C18:AG18">
    <cfRule type="cellIs" dxfId="400" priority="170" operator="equal">
      <formula>"C"</formula>
    </cfRule>
    <cfRule type="cellIs" dxfId="399" priority="171" operator="equal">
      <formula>"M"</formula>
    </cfRule>
    <cfRule type="cellIs" dxfId="398" priority="172" operator="equal">
      <formula>"RTT"</formula>
    </cfRule>
    <cfRule type="cellIs" dxfId="397" priority="173" operator="equal">
      <formula>"C"</formula>
    </cfRule>
  </conditionalFormatting>
  <conditionalFormatting sqref="C22:AG24">
    <cfRule type="expression" dxfId="396" priority="10">
      <formula>C$20=VLOOKUP(C$20,$BZ$5:$CA$18,2,0)</formula>
    </cfRule>
    <cfRule type="expression" dxfId="395" priority="169">
      <formula>OR(C$23=1,C$23=7)</formula>
    </cfRule>
  </conditionalFormatting>
  <conditionalFormatting sqref="C24:AG24">
    <cfRule type="cellIs" dxfId="394" priority="165" operator="equal">
      <formula>"C"</formula>
    </cfRule>
    <cfRule type="cellIs" dxfId="393" priority="166" operator="equal">
      <formula>"M"</formula>
    </cfRule>
    <cfRule type="cellIs" dxfId="392" priority="167" operator="equal">
      <formula>"RTT"</formula>
    </cfRule>
    <cfRule type="cellIs" dxfId="391" priority="168" operator="equal">
      <formula>"C"</formula>
    </cfRule>
  </conditionalFormatting>
  <conditionalFormatting sqref="C28:AG30">
    <cfRule type="expression" dxfId="390" priority="164">
      <formula>OR(C$29=1,C$29=7)</formula>
    </cfRule>
  </conditionalFormatting>
  <conditionalFormatting sqref="C30:AG30">
    <cfRule type="cellIs" dxfId="389" priority="160" operator="equal">
      <formula>"C"</formula>
    </cfRule>
    <cfRule type="cellIs" dxfId="388" priority="161" operator="equal">
      <formula>"M"</formula>
    </cfRule>
    <cfRule type="cellIs" dxfId="387" priority="162" operator="equal">
      <formula>"RTT"</formula>
    </cfRule>
    <cfRule type="cellIs" dxfId="386" priority="163" operator="equal">
      <formula>"C"</formula>
    </cfRule>
  </conditionalFormatting>
  <conditionalFormatting sqref="C34:AG36">
    <cfRule type="expression" dxfId="385" priority="159">
      <formula>OR(C$35=1,C$35=7)</formula>
    </cfRule>
  </conditionalFormatting>
  <conditionalFormatting sqref="C36:AG36">
    <cfRule type="cellIs" dxfId="384" priority="155" operator="equal">
      <formula>"C"</formula>
    </cfRule>
    <cfRule type="cellIs" dxfId="383" priority="156" operator="equal">
      <formula>"M"</formula>
    </cfRule>
    <cfRule type="cellIs" dxfId="382" priority="157" operator="equal">
      <formula>"RTT"</formula>
    </cfRule>
    <cfRule type="cellIs" dxfId="381" priority="158" operator="equal">
      <formula>"C"</formula>
    </cfRule>
  </conditionalFormatting>
  <conditionalFormatting sqref="C40:AG42">
    <cfRule type="expression" dxfId="380" priority="154">
      <formula>OR(C$41=1,C$41=7)</formula>
    </cfRule>
  </conditionalFormatting>
  <conditionalFormatting sqref="C42:AG42">
    <cfRule type="cellIs" dxfId="379" priority="150" operator="equal">
      <formula>"C"</formula>
    </cfRule>
    <cfRule type="cellIs" dxfId="378" priority="151" operator="equal">
      <formula>"M"</formula>
    </cfRule>
    <cfRule type="cellIs" dxfId="377" priority="152" operator="equal">
      <formula>"RTT"</formula>
    </cfRule>
    <cfRule type="cellIs" dxfId="376" priority="153" operator="equal">
      <formula>"C"</formula>
    </cfRule>
  </conditionalFormatting>
  <conditionalFormatting sqref="C46:AG48">
    <cfRule type="expression" dxfId="375" priority="149">
      <formula>OR(C$47=1,C$47=7)</formula>
    </cfRule>
  </conditionalFormatting>
  <conditionalFormatting sqref="C48:AG48">
    <cfRule type="cellIs" dxfId="374" priority="145" operator="equal">
      <formula>"C"</formula>
    </cfRule>
    <cfRule type="cellIs" dxfId="373" priority="146" operator="equal">
      <formula>"M"</formula>
    </cfRule>
    <cfRule type="cellIs" dxfId="372" priority="147" operator="equal">
      <formula>"RTT"</formula>
    </cfRule>
    <cfRule type="cellIs" dxfId="371" priority="148" operator="equal">
      <formula>"C"</formula>
    </cfRule>
  </conditionalFormatting>
  <conditionalFormatting sqref="C52:AG54">
    <cfRule type="expression" dxfId="370" priority="144">
      <formula>OR(C$53=1,C$53=7)</formula>
    </cfRule>
  </conditionalFormatting>
  <conditionalFormatting sqref="C54:AG54">
    <cfRule type="cellIs" dxfId="369" priority="140" operator="equal">
      <formula>"C"</formula>
    </cfRule>
    <cfRule type="cellIs" dxfId="368" priority="141" operator="equal">
      <formula>"M"</formula>
    </cfRule>
    <cfRule type="cellIs" dxfId="367" priority="142" operator="equal">
      <formula>"RTT"</formula>
    </cfRule>
    <cfRule type="cellIs" dxfId="366" priority="143" operator="equal">
      <formula>"C"</formula>
    </cfRule>
  </conditionalFormatting>
  <conditionalFormatting sqref="C58:AG60">
    <cfRule type="expression" dxfId="365" priority="139">
      <formula>OR(C$59=1,C$59=7)</formula>
    </cfRule>
  </conditionalFormatting>
  <conditionalFormatting sqref="C60:AG60">
    <cfRule type="cellIs" dxfId="364" priority="135" operator="equal">
      <formula>"C"</formula>
    </cfRule>
    <cfRule type="cellIs" dxfId="363" priority="136" operator="equal">
      <formula>"M"</formula>
    </cfRule>
    <cfRule type="cellIs" dxfId="362" priority="137" operator="equal">
      <formula>"RTT"</formula>
    </cfRule>
    <cfRule type="cellIs" dxfId="361" priority="138" operator="equal">
      <formula>"C"</formula>
    </cfRule>
  </conditionalFormatting>
  <conditionalFormatting sqref="C64:AG66">
    <cfRule type="expression" dxfId="360" priority="134">
      <formula>OR(C$65=1,C$65=7)</formula>
    </cfRule>
  </conditionalFormatting>
  <conditionalFormatting sqref="C66:AG66">
    <cfRule type="cellIs" dxfId="359" priority="130" operator="equal">
      <formula>"C"</formula>
    </cfRule>
    <cfRule type="cellIs" dxfId="358" priority="131" operator="equal">
      <formula>"M"</formula>
    </cfRule>
    <cfRule type="cellIs" dxfId="357" priority="132" operator="equal">
      <formula>"RTT"</formula>
    </cfRule>
    <cfRule type="cellIs" dxfId="356" priority="133" operator="equal">
      <formula>"C"</formula>
    </cfRule>
  </conditionalFormatting>
  <conditionalFormatting sqref="C70:AG72">
    <cfRule type="expression" dxfId="355" priority="129">
      <formula>OR(C$71=1,C$71=7)</formula>
    </cfRule>
  </conditionalFormatting>
  <conditionalFormatting sqref="C72:AG72">
    <cfRule type="cellIs" dxfId="354" priority="125" operator="equal">
      <formula>"C"</formula>
    </cfRule>
    <cfRule type="cellIs" dxfId="353" priority="126" operator="equal">
      <formula>"M"</formula>
    </cfRule>
    <cfRule type="cellIs" dxfId="352" priority="127" operator="equal">
      <formula>"RTT"</formula>
    </cfRule>
    <cfRule type="cellIs" dxfId="351" priority="128" operator="equal">
      <formula>"C"</formula>
    </cfRule>
  </conditionalFormatting>
  <conditionalFormatting sqref="C76:AG78">
    <cfRule type="expression" dxfId="350" priority="124">
      <formula>OR(C$77=1,C$77=7)</formula>
    </cfRule>
  </conditionalFormatting>
  <conditionalFormatting sqref="C78:AG78">
    <cfRule type="cellIs" dxfId="349" priority="120" operator="equal">
      <formula>"C"</formula>
    </cfRule>
    <cfRule type="cellIs" dxfId="348" priority="121" operator="equal">
      <formula>"M"</formula>
    </cfRule>
    <cfRule type="cellIs" dxfId="347" priority="122" operator="equal">
      <formula>"RTT"</formula>
    </cfRule>
    <cfRule type="cellIs" dxfId="346" priority="123" operator="equal">
      <formula>"C"</formula>
    </cfRule>
  </conditionalFormatting>
  <conditionalFormatting sqref="AL43">
    <cfRule type="expression" dxfId="345" priority="104">
      <formula>OR(#REF!=1,#REF!=7)</formula>
    </cfRule>
  </conditionalFormatting>
  <conditionalFormatting sqref="AL43">
    <cfRule type="cellIs" dxfId="344" priority="100" operator="equal">
      <formula>"C"</formula>
    </cfRule>
    <cfRule type="cellIs" dxfId="343" priority="101" operator="equal">
      <formula>"M"</formula>
    </cfRule>
    <cfRule type="cellIs" dxfId="342" priority="102" operator="equal">
      <formula>"RTT"</formula>
    </cfRule>
    <cfRule type="cellIs" dxfId="341" priority="103" operator="equal">
      <formula>"C"</formula>
    </cfRule>
  </conditionalFormatting>
  <conditionalFormatting sqref="AI10">
    <cfRule type="cellIs" dxfId="340" priority="95" operator="equal">
      <formula>"C"</formula>
    </cfRule>
    <cfRule type="cellIs" dxfId="339" priority="96" operator="equal">
      <formula>"M"</formula>
    </cfRule>
    <cfRule type="cellIs" dxfId="338" priority="97" operator="equal">
      <formula>"RTT"</formula>
    </cfRule>
    <cfRule type="cellIs" dxfId="337" priority="98" operator="equal">
      <formula>"C"</formula>
    </cfRule>
  </conditionalFormatting>
  <conditionalFormatting sqref="AI10">
    <cfRule type="expression" dxfId="336" priority="99">
      <formula>OR(#REF!=1,#REF!=7)</formula>
    </cfRule>
  </conditionalFormatting>
  <conditionalFormatting sqref="AI16">
    <cfRule type="cellIs" dxfId="335" priority="90" operator="equal">
      <formula>"C"</formula>
    </cfRule>
    <cfRule type="cellIs" dxfId="334" priority="91" operator="equal">
      <formula>"M"</formula>
    </cfRule>
    <cfRule type="cellIs" dxfId="333" priority="92" operator="equal">
      <formula>"RTT"</formula>
    </cfRule>
    <cfRule type="cellIs" dxfId="332" priority="93" operator="equal">
      <formula>"C"</formula>
    </cfRule>
  </conditionalFormatting>
  <conditionalFormatting sqref="AI16">
    <cfRule type="expression" dxfId="331" priority="94">
      <formula>OR(#REF!=1,#REF!=7)</formula>
    </cfRule>
  </conditionalFormatting>
  <conditionalFormatting sqref="AI22">
    <cfRule type="cellIs" dxfId="330" priority="85" operator="equal">
      <formula>"C"</formula>
    </cfRule>
    <cfRule type="cellIs" dxfId="329" priority="86" operator="equal">
      <formula>"M"</formula>
    </cfRule>
    <cfRule type="cellIs" dxfId="328" priority="87" operator="equal">
      <formula>"RTT"</formula>
    </cfRule>
    <cfRule type="cellIs" dxfId="327" priority="88" operator="equal">
      <formula>"C"</formula>
    </cfRule>
  </conditionalFormatting>
  <conditionalFormatting sqref="AI22">
    <cfRule type="expression" dxfId="326" priority="89">
      <formula>OR(#REF!=1,#REF!=7)</formula>
    </cfRule>
  </conditionalFormatting>
  <conditionalFormatting sqref="AI28">
    <cfRule type="cellIs" dxfId="325" priority="80" operator="equal">
      <formula>"C"</formula>
    </cfRule>
    <cfRule type="cellIs" dxfId="324" priority="81" operator="equal">
      <formula>"M"</formula>
    </cfRule>
    <cfRule type="cellIs" dxfId="323" priority="82" operator="equal">
      <formula>"RTT"</formula>
    </cfRule>
    <cfRule type="cellIs" dxfId="322" priority="83" operator="equal">
      <formula>"C"</formula>
    </cfRule>
  </conditionalFormatting>
  <conditionalFormatting sqref="AI28">
    <cfRule type="expression" dxfId="321" priority="84">
      <formula>OR(#REF!=1,#REF!=7)</formula>
    </cfRule>
  </conditionalFormatting>
  <conditionalFormatting sqref="AI34">
    <cfRule type="cellIs" dxfId="320" priority="75" operator="equal">
      <formula>"C"</formula>
    </cfRule>
    <cfRule type="cellIs" dxfId="319" priority="76" operator="equal">
      <formula>"M"</formula>
    </cfRule>
    <cfRule type="cellIs" dxfId="318" priority="77" operator="equal">
      <formula>"RTT"</formula>
    </cfRule>
    <cfRule type="cellIs" dxfId="317" priority="78" operator="equal">
      <formula>"C"</formula>
    </cfRule>
  </conditionalFormatting>
  <conditionalFormatting sqref="AI34">
    <cfRule type="expression" dxfId="316" priority="79">
      <formula>OR(#REF!=1,#REF!=7)</formula>
    </cfRule>
  </conditionalFormatting>
  <conditionalFormatting sqref="AI40">
    <cfRule type="cellIs" dxfId="315" priority="70" operator="equal">
      <formula>"C"</formula>
    </cfRule>
    <cfRule type="cellIs" dxfId="314" priority="71" operator="equal">
      <formula>"M"</formula>
    </cfRule>
    <cfRule type="cellIs" dxfId="313" priority="72" operator="equal">
      <formula>"RTT"</formula>
    </cfRule>
    <cfRule type="cellIs" dxfId="312" priority="73" operator="equal">
      <formula>"C"</formula>
    </cfRule>
  </conditionalFormatting>
  <conditionalFormatting sqref="AI40">
    <cfRule type="expression" dxfId="311" priority="74">
      <formula>OR(#REF!=1,#REF!=7)</formula>
    </cfRule>
  </conditionalFormatting>
  <conditionalFormatting sqref="AI46">
    <cfRule type="cellIs" dxfId="310" priority="65" operator="equal">
      <formula>"C"</formula>
    </cfRule>
    <cfRule type="cellIs" dxfId="309" priority="66" operator="equal">
      <formula>"M"</formula>
    </cfRule>
    <cfRule type="cellIs" dxfId="308" priority="67" operator="equal">
      <formula>"RTT"</formula>
    </cfRule>
    <cfRule type="cellIs" dxfId="307" priority="68" operator="equal">
      <formula>"C"</formula>
    </cfRule>
  </conditionalFormatting>
  <conditionalFormatting sqref="AI46">
    <cfRule type="expression" dxfId="306" priority="69">
      <formula>OR(#REF!=1,#REF!=7)</formula>
    </cfRule>
  </conditionalFormatting>
  <conditionalFormatting sqref="AI52">
    <cfRule type="cellIs" dxfId="305" priority="60" operator="equal">
      <formula>"C"</formula>
    </cfRule>
    <cfRule type="cellIs" dxfId="304" priority="61" operator="equal">
      <formula>"M"</formula>
    </cfRule>
    <cfRule type="cellIs" dxfId="303" priority="62" operator="equal">
      <formula>"RTT"</formula>
    </cfRule>
    <cfRule type="cellIs" dxfId="302" priority="63" operator="equal">
      <formula>"C"</formula>
    </cfRule>
  </conditionalFormatting>
  <conditionalFormatting sqref="AI52">
    <cfRule type="expression" dxfId="301" priority="64">
      <formula>OR(#REF!=1,#REF!=7)</formula>
    </cfRule>
  </conditionalFormatting>
  <conditionalFormatting sqref="AI58">
    <cfRule type="cellIs" dxfId="300" priority="55" operator="equal">
      <formula>"C"</formula>
    </cfRule>
    <cfRule type="cellIs" dxfId="299" priority="56" operator="equal">
      <formula>"M"</formula>
    </cfRule>
    <cfRule type="cellIs" dxfId="298" priority="57" operator="equal">
      <formula>"RTT"</formula>
    </cfRule>
    <cfRule type="cellIs" dxfId="297" priority="58" operator="equal">
      <formula>"C"</formula>
    </cfRule>
  </conditionalFormatting>
  <conditionalFormatting sqref="AI58">
    <cfRule type="expression" dxfId="296" priority="59">
      <formula>OR(#REF!=1,#REF!=7)</formula>
    </cfRule>
  </conditionalFormatting>
  <conditionalFormatting sqref="AI64">
    <cfRule type="cellIs" dxfId="295" priority="50" operator="equal">
      <formula>"C"</formula>
    </cfRule>
    <cfRule type="cellIs" dxfId="294" priority="51" operator="equal">
      <formula>"M"</formula>
    </cfRule>
    <cfRule type="cellIs" dxfId="293" priority="52" operator="equal">
      <formula>"RTT"</formula>
    </cfRule>
    <cfRule type="cellIs" dxfId="292" priority="53" operator="equal">
      <formula>"C"</formula>
    </cfRule>
  </conditionalFormatting>
  <conditionalFormatting sqref="AI64">
    <cfRule type="expression" dxfId="291" priority="54">
      <formula>OR(#REF!=1,#REF!=7)</formula>
    </cfRule>
  </conditionalFormatting>
  <conditionalFormatting sqref="AI70">
    <cfRule type="cellIs" dxfId="290" priority="45" operator="equal">
      <formula>"C"</formula>
    </cfRule>
    <cfRule type="cellIs" dxfId="289" priority="46" operator="equal">
      <formula>"M"</formula>
    </cfRule>
    <cfRule type="cellIs" dxfId="288" priority="47" operator="equal">
      <formula>"RTT"</formula>
    </cfRule>
    <cfRule type="cellIs" dxfId="287" priority="48" operator="equal">
      <formula>"C"</formula>
    </cfRule>
  </conditionalFormatting>
  <conditionalFormatting sqref="AI70">
    <cfRule type="expression" dxfId="286" priority="49">
      <formula>OR(#REF!=1,#REF!=7)</formula>
    </cfRule>
  </conditionalFormatting>
  <conditionalFormatting sqref="AI76">
    <cfRule type="cellIs" dxfId="285" priority="40" operator="equal">
      <formula>"C"</formula>
    </cfRule>
    <cfRule type="cellIs" dxfId="284" priority="41" operator="equal">
      <formula>"M"</formula>
    </cfRule>
    <cfRule type="cellIs" dxfId="283" priority="42" operator="equal">
      <formula>"RTT"</formula>
    </cfRule>
    <cfRule type="cellIs" dxfId="282" priority="43" operator="equal">
      <formula>"C"</formula>
    </cfRule>
  </conditionalFormatting>
  <conditionalFormatting sqref="AI76">
    <cfRule type="expression" dxfId="281" priority="44">
      <formula>OR(#REF!=1,#REF!=7)</formula>
    </cfRule>
  </conditionalFormatting>
  <conditionalFormatting sqref="C7">
    <cfRule type="cellIs" dxfId="280" priority="35" operator="equal">
      <formula>"C"</formula>
    </cfRule>
    <cfRule type="cellIs" dxfId="279" priority="36" operator="equal">
      <formula>"M"</formula>
    </cfRule>
    <cfRule type="cellIs" dxfId="278" priority="37" operator="equal">
      <formula>"RTT"</formula>
    </cfRule>
    <cfRule type="cellIs" dxfId="277" priority="38" operator="equal">
      <formula>"C"</formula>
    </cfRule>
  </conditionalFormatting>
  <conditionalFormatting sqref="C7">
    <cfRule type="expression" dxfId="276" priority="39">
      <formula>OR(#REF!=1,#REF!=7)</formula>
    </cfRule>
  </conditionalFormatting>
  <conditionalFormatting sqref="AR21">
    <cfRule type="cellIs" dxfId="275" priority="30" operator="equal">
      <formula>"C"</formula>
    </cfRule>
    <cfRule type="cellIs" dxfId="274" priority="31" operator="equal">
      <formula>"M"</formula>
    </cfRule>
    <cfRule type="cellIs" dxfId="273" priority="32" operator="equal">
      <formula>"RTT"</formula>
    </cfRule>
    <cfRule type="cellIs" dxfId="272" priority="33" operator="equal">
      <formula>"C"</formula>
    </cfRule>
  </conditionalFormatting>
  <conditionalFormatting sqref="AR21">
    <cfRule type="expression" dxfId="271" priority="34">
      <formula>OR(#REF!=1,#REF!=7)</formula>
    </cfRule>
  </conditionalFormatting>
  <conditionalFormatting sqref="AL30">
    <cfRule type="cellIs" dxfId="270" priority="20" operator="equal">
      <formula>"C"</formula>
    </cfRule>
    <cfRule type="cellIs" dxfId="269" priority="21" operator="equal">
      <formula>"M"</formula>
    </cfRule>
    <cfRule type="cellIs" dxfId="268" priority="22" operator="equal">
      <formula>"RTT"</formula>
    </cfRule>
    <cfRule type="cellIs" dxfId="267" priority="23" operator="equal">
      <formula>"C"</formula>
    </cfRule>
  </conditionalFormatting>
  <conditionalFormatting sqref="AL30">
    <cfRule type="expression" dxfId="266" priority="24">
      <formula>OR(#REF!=1,#REF!=7)</formula>
    </cfRule>
  </conditionalFormatting>
  <conditionalFormatting sqref="AL22">
    <cfRule type="cellIs" dxfId="265" priority="25" operator="equal">
      <formula>"C"</formula>
    </cfRule>
    <cfRule type="cellIs" dxfId="264" priority="26" operator="equal">
      <formula>"M"</formula>
    </cfRule>
    <cfRule type="cellIs" dxfId="263" priority="27" operator="equal">
      <formula>"RTT"</formula>
    </cfRule>
    <cfRule type="cellIs" dxfId="262" priority="28" operator="equal">
      <formula>"C"</formula>
    </cfRule>
  </conditionalFormatting>
  <conditionalFormatting sqref="AL22">
    <cfRule type="expression" dxfId="261" priority="29">
      <formula>OR(#REF!=1,#REF!=7)</formula>
    </cfRule>
  </conditionalFormatting>
  <conditionalFormatting sqref="C12:AG12 C18:AG18 C24:AG24 C30:AG30 C36:AG36 C42:AG42 C48:AG48 C54:AG54 C60:AG60 C66:AG66 C72:AG72 C78:AG78">
    <cfRule type="cellIs" dxfId="260" priority="17" operator="equal">
      <formula>"D ? !"</formula>
    </cfRule>
    <cfRule type="cellIs" dxfId="259" priority="18" operator="equal">
      <formula>"AT"</formula>
    </cfRule>
    <cfRule type="cellIs" dxfId="258" priority="175" operator="equal">
      <formula>"C"</formula>
    </cfRule>
    <cfRule type="cellIs" dxfId="257" priority="176" operator="equal">
      <formula>"M"</formula>
    </cfRule>
    <cfRule type="cellIs" dxfId="256" priority="178" operator="equal">
      <formula>"Cp"</formula>
    </cfRule>
  </conditionalFormatting>
  <conditionalFormatting sqref="C12:AG12 C18:AG18 C24:AG24 C30:AG30 C36:AG36 C42:AG42 C54:AG54 C60:AG60 C66:AG66 C72:AG72 C78:AG78">
    <cfRule type="cellIs" dxfId="255" priority="19" operator="equal">
      <formula>"Aap"</formula>
    </cfRule>
  </conditionalFormatting>
  <conditionalFormatting sqref="C12:AG12 C18:AG18 C24:AG24 C30:AG30 C36:AG36 C42:AG42 C48:AG48 C54:AG54 C60:AG60 C66:AG66 C72:AG72 C78:AG78">
    <cfRule type="cellIs" dxfId="254" priority="177" operator="equal">
      <formula>"RTT"</formula>
    </cfRule>
  </conditionalFormatting>
  <conditionalFormatting sqref="CA5:CA18">
    <cfRule type="expression" dxfId="253" priority="15" stopIfTrue="1">
      <formula>WEEKDAY(CA5,2)=6</formula>
    </cfRule>
    <cfRule type="expression" dxfId="252" priority="16" stopIfTrue="1">
      <formula>WEEKDAY(CA5,2)=7</formula>
    </cfRule>
  </conditionalFormatting>
  <conditionalFormatting sqref="CA21:CA34">
    <cfRule type="expression" dxfId="251" priority="13" stopIfTrue="1">
      <formula>WEEKDAY(CA21,2)=6</formula>
    </cfRule>
    <cfRule type="expression" dxfId="250" priority="14" stopIfTrue="1">
      <formula>WEEKDAY(CA21,2)=7</formula>
    </cfRule>
  </conditionalFormatting>
  <conditionalFormatting sqref="C28:AG29">
    <cfRule type="expression" dxfId="249" priority="9">
      <formula>C$26=VLOOKUP(C$26,$BZ$5:$CA$18,2,0)</formula>
    </cfRule>
  </conditionalFormatting>
  <conditionalFormatting sqref="C34:AG35">
    <cfRule type="expression" dxfId="248" priority="8">
      <formula>C$32=VLOOKUP(C$32,$BZ$5:$CA$18,2,0)</formula>
    </cfRule>
  </conditionalFormatting>
  <conditionalFormatting sqref="C40:AG41">
    <cfRule type="expression" dxfId="247" priority="7">
      <formula>C$38=VLOOKUP(C$38,$BZ$5:$CA$18,2,0)</formula>
    </cfRule>
  </conditionalFormatting>
  <conditionalFormatting sqref="C46:AG47">
    <cfRule type="expression" dxfId="246" priority="6">
      <formula>C$44=VLOOKUP(C$44,$BZ$5:$CA$18,2,0)</formula>
    </cfRule>
  </conditionalFormatting>
  <conditionalFormatting sqref="C52:AG53">
    <cfRule type="expression" dxfId="245" priority="5">
      <formula>C$50=VLOOKUP(C$50,$BZ$5:$CA$18,2,0)</formula>
    </cfRule>
  </conditionalFormatting>
  <conditionalFormatting sqref="C58:AH59">
    <cfRule type="expression" dxfId="244" priority="4">
      <formula>C$56=VLOOKUP(C$56,$BZ$5:$CA$18,2,0)</formula>
    </cfRule>
  </conditionalFormatting>
  <conditionalFormatting sqref="C64:AG65">
    <cfRule type="expression" dxfId="243" priority="3">
      <formula>C$62=VLOOKUP(C$62,$BZ$5:$CA$18,2,0)</formula>
    </cfRule>
  </conditionalFormatting>
  <conditionalFormatting sqref="C70:AG71">
    <cfRule type="expression" dxfId="242" priority="2">
      <formula>C$68=VLOOKUP(C$68,$BZ$5:$CA$18,2,0)</formula>
    </cfRule>
  </conditionalFormatting>
  <conditionalFormatting sqref="C76:AG77">
    <cfRule type="expression" dxfId="241" priority="1">
      <formula>C$74=VLOOKUP(C$74,$BZ$5:$CA$18,2,0)</formula>
    </cfRule>
  </conditionalFormatting>
  <dataValidations count="1">
    <dataValidation type="list" allowBlank="1" showInputMessage="1" showErrorMessage="1" sqref="M86:N86 AL31:AL116" xr:uid="{B14CB5DC-0F82-4924-A216-12B422915C4B}">
      <formula1>$I$3:$I$3</formula1>
    </dataValidation>
  </dataValidations>
  <hyperlinks>
    <hyperlink ref="U5" r:id="rId1" xr:uid="{82821769-4E0A-41DD-B98D-252491075F37}"/>
  </hyperlinks>
  <pageMargins left="0.7" right="0.7" top="0.75" bottom="0.75" header="0.3" footer="0.3"/>
  <pageSetup paperSize="9" orientation="portrait" r:id="rId2"/>
  <drawing r:id="rId3"/>
  <legacyDrawing r:id="rId4"/>
  <tableParts count="2">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613B-9273-4BC5-9088-02573642134C}">
  <sheetPr codeName="Feuil7"/>
  <dimension ref="A1:CE143"/>
  <sheetViews>
    <sheetView zoomScaleNormal="100" workbookViewId="0">
      <selection activeCell="C8" sqref="C8"/>
    </sheetView>
  </sheetViews>
  <sheetFormatPr baseColWidth="10" defaultRowHeight="15.75" x14ac:dyDescent="0.25"/>
  <cols>
    <col min="1" max="1" width="3.625" customWidth="1"/>
    <col min="3" max="33" width="5.625" customWidth="1"/>
    <col min="37" max="37" width="11.5" customWidth="1"/>
    <col min="40" max="40" width="15.125" customWidth="1"/>
    <col min="43" max="43" width="17" customWidth="1"/>
    <col min="45" max="45" width="27.625" customWidth="1"/>
    <col min="48" max="50" width="9.375" style="58" customWidth="1"/>
    <col min="51" max="51" width="3.625" style="58" customWidth="1"/>
    <col min="52" max="58" width="9.375" style="58" customWidth="1"/>
    <col min="59" max="59" width="32.25" style="58" customWidth="1"/>
    <col min="61" max="61" width="3" style="289" customWidth="1"/>
    <col min="62" max="62" width="8.25" style="289" customWidth="1"/>
    <col min="63" max="63" width="7.625" style="289" customWidth="1"/>
    <col min="64" max="64" width="12.125" style="289" customWidth="1"/>
    <col min="65" max="65" width="11.875" style="289" customWidth="1"/>
    <col min="66" max="70" width="7.625" style="289" customWidth="1"/>
    <col min="71" max="71" width="8.75" style="289" customWidth="1"/>
    <col min="72" max="72" width="7.875" style="289" customWidth="1"/>
    <col min="73" max="73" width="4" style="289" customWidth="1"/>
    <col min="74" max="74" width="12.5" style="289" customWidth="1"/>
    <col min="75" max="75" width="13.375" style="289" customWidth="1"/>
    <col min="76" max="76" width="3.625" style="289" customWidth="1"/>
    <col min="78" max="78" width="17.5" customWidth="1"/>
    <col min="79" max="79" width="42.25" customWidth="1"/>
    <col min="80" max="80" width="27.75" customWidth="1"/>
    <col min="82" max="82" width="18" customWidth="1"/>
    <col min="83" max="83" width="21.625" customWidth="1"/>
  </cols>
  <sheetData>
    <row r="1" spans="1:83" ht="23.25" x14ac:dyDescent="0.25">
      <c r="A1" s="1483" t="s">
        <v>680</v>
      </c>
      <c r="B1" s="1484"/>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5"/>
      <c r="AJ1" s="13"/>
      <c r="AK1" s="672" t="s">
        <v>869</v>
      </c>
      <c r="AM1" s="13"/>
      <c r="AN1" s="13"/>
      <c r="AO1" s="13"/>
      <c r="AP1" s="13"/>
    </row>
    <row r="2" spans="1:83" ht="23.25" customHeight="1" x14ac:dyDescent="0.25">
      <c r="A2" s="13"/>
      <c r="B2" s="13"/>
      <c r="C2" s="1467">
        <v>2020</v>
      </c>
      <c r="D2" s="1467"/>
      <c r="E2" s="1467"/>
      <c r="F2" s="1467"/>
      <c r="G2" s="1467"/>
      <c r="H2" s="13"/>
      <c r="I2" s="1487" t="s">
        <v>831</v>
      </c>
      <c r="J2" s="1487"/>
      <c r="K2" s="1487"/>
      <c r="L2" s="1487"/>
      <c r="M2" s="1487"/>
      <c r="N2" s="1487"/>
      <c r="O2" s="1487"/>
      <c r="P2" s="1487"/>
      <c r="Q2" s="1487"/>
      <c r="R2" s="34"/>
      <c r="S2" s="13"/>
      <c r="T2" s="13"/>
      <c r="U2" s="1512" t="s">
        <v>498</v>
      </c>
      <c r="V2" s="1512"/>
      <c r="W2" s="1512"/>
      <c r="X2" s="1512"/>
      <c r="Y2" s="1512"/>
      <c r="Z2" s="1512"/>
      <c r="AA2" s="1512"/>
      <c r="AB2" s="1512"/>
      <c r="AC2" s="1512"/>
      <c r="AD2" s="1512"/>
      <c r="AE2" s="1512"/>
      <c r="AF2" s="1512"/>
      <c r="AG2" s="1512"/>
      <c r="AH2" s="13"/>
      <c r="AI2" s="13"/>
      <c r="AJ2" s="13"/>
      <c r="AK2" s="250" t="s">
        <v>494</v>
      </c>
      <c r="AM2" s="13"/>
      <c r="AN2" s="13"/>
      <c r="AO2" s="13"/>
      <c r="AP2" s="13"/>
      <c r="AV2" s="1502" t="s">
        <v>149</v>
      </c>
      <c r="AW2" s="1503"/>
      <c r="AX2" s="1503"/>
      <c r="AY2" s="1503"/>
      <c r="AZ2" s="1503"/>
      <c r="BA2" s="1503"/>
      <c r="BB2" s="1503"/>
      <c r="BC2" s="1503"/>
      <c r="BD2" s="1503"/>
      <c r="BE2" s="65"/>
      <c r="BF2" s="74" t="s">
        <v>57</v>
      </c>
      <c r="BG2" s="66">
        <f ca="1">NOW()</f>
        <v>44232.80612465278</v>
      </c>
      <c r="BI2" s="1090" t="s">
        <v>680</v>
      </c>
      <c r="BJ2" s="1091"/>
      <c r="BK2" s="1092"/>
      <c r="BL2" s="1092"/>
      <c r="BM2" s="1092"/>
      <c r="BN2" s="1092"/>
      <c r="BO2" s="1092"/>
      <c r="BP2" s="1092"/>
      <c r="BQ2" s="1092"/>
      <c r="BR2" s="1092"/>
      <c r="BS2" s="1092"/>
      <c r="BT2" s="1092"/>
      <c r="BU2" s="1092"/>
      <c r="BV2" s="1092"/>
      <c r="BW2" s="1092"/>
      <c r="BX2" s="1093"/>
      <c r="BZ2" s="1489" t="s">
        <v>892</v>
      </c>
      <c r="CA2" s="1489"/>
      <c r="CB2" s="1489"/>
      <c r="CC2" s="1489"/>
      <c r="CD2" s="1489"/>
      <c r="CE2" s="1489"/>
    </row>
    <row r="3" spans="1:83" ht="15.75" customHeight="1" x14ac:dyDescent="0.25">
      <c r="A3" s="13"/>
      <c r="B3" s="13"/>
      <c r="C3" s="1467"/>
      <c r="D3" s="1467"/>
      <c r="E3" s="1467"/>
      <c r="F3" s="1467"/>
      <c r="G3" s="1467"/>
      <c r="H3" s="13"/>
      <c r="I3" s="1487"/>
      <c r="J3" s="1487"/>
      <c r="K3" s="1487"/>
      <c r="L3" s="1487"/>
      <c r="M3" s="1487"/>
      <c r="N3" s="1487"/>
      <c r="O3" s="1487"/>
      <c r="P3" s="1487"/>
      <c r="Q3" s="1487"/>
      <c r="R3" s="34"/>
      <c r="S3" s="13"/>
      <c r="T3" s="13"/>
      <c r="U3" s="1512"/>
      <c r="V3" s="1512"/>
      <c r="W3" s="1512"/>
      <c r="X3" s="1512"/>
      <c r="Y3" s="1512"/>
      <c r="Z3" s="1512"/>
      <c r="AA3" s="1512"/>
      <c r="AB3" s="1512"/>
      <c r="AC3" s="1512"/>
      <c r="AD3" s="1512"/>
      <c r="AE3" s="1512"/>
      <c r="AF3" s="1512"/>
      <c r="AG3" s="1512"/>
      <c r="AH3" s="13"/>
      <c r="AI3" s="13"/>
      <c r="AJ3" s="13"/>
      <c r="AK3" s="250" t="s">
        <v>496</v>
      </c>
      <c r="AM3" s="13"/>
      <c r="AN3" s="13"/>
      <c r="AO3" s="13"/>
      <c r="AP3" s="13"/>
      <c r="AV3" s="47"/>
      <c r="AW3" s="47"/>
      <c r="AX3" s="47"/>
      <c r="AY3" s="47"/>
      <c r="AZ3" s="47"/>
      <c r="BA3" s="48"/>
      <c r="BB3" s="48"/>
      <c r="BC3" s="48"/>
      <c r="BD3" s="56"/>
      <c r="BE3" s="56"/>
      <c r="BF3" s="56"/>
      <c r="BG3" s="56"/>
      <c r="BI3" s="274" t="s">
        <v>506</v>
      </c>
      <c r="BJ3" s="275"/>
      <c r="BK3" s="1080" t="s">
        <v>650</v>
      </c>
      <c r="BL3" s="1080"/>
      <c r="BM3" s="1080"/>
      <c r="BN3" s="1080"/>
      <c r="BO3" s="1081"/>
      <c r="BP3" s="276" t="s">
        <v>507</v>
      </c>
      <c r="BQ3" s="277"/>
      <c r="BR3" s="683"/>
      <c r="BS3" s="1080" t="s">
        <v>683</v>
      </c>
      <c r="BT3" s="1080"/>
      <c r="BU3" s="1080"/>
      <c r="BV3" s="1080"/>
      <c r="BW3" s="1080"/>
      <c r="BX3" s="1084"/>
      <c r="BZ3" s="1489"/>
      <c r="CA3" s="1489"/>
      <c r="CB3" s="1489"/>
      <c r="CC3" s="1489"/>
      <c r="CD3" s="1489"/>
      <c r="CE3" s="1489"/>
    </row>
    <row r="4" spans="1:83" ht="15.75" customHeight="1" thickBot="1" x14ac:dyDescent="0.3">
      <c r="A4" s="13"/>
      <c r="B4" s="660" t="s">
        <v>414</v>
      </c>
      <c r="C4" s="662" t="s">
        <v>662</v>
      </c>
      <c r="D4" s="665">
        <f>COUNTIF(C12:AH41,C4)</f>
        <v>0</v>
      </c>
      <c r="E4" s="638" t="s">
        <v>362</v>
      </c>
      <c r="F4" s="665">
        <f>COUNTIF(C12:AH41,E4)</f>
        <v>0</v>
      </c>
      <c r="G4" s="668" t="s">
        <v>820</v>
      </c>
      <c r="H4" s="13"/>
      <c r="I4" s="1513" t="s">
        <v>493</v>
      </c>
      <c r="J4" s="1513"/>
      <c r="K4" s="1513"/>
      <c r="L4" s="1513"/>
      <c r="M4" s="1513"/>
      <c r="N4" s="1513"/>
      <c r="O4" s="1513"/>
      <c r="P4" s="1513"/>
      <c r="Q4" s="1513"/>
      <c r="R4" s="13"/>
      <c r="S4" s="13"/>
      <c r="T4" s="13"/>
      <c r="U4" s="13"/>
      <c r="V4" s="13"/>
      <c r="W4" s="13"/>
      <c r="X4" s="13"/>
      <c r="Y4" s="13"/>
      <c r="Z4" s="13"/>
      <c r="AA4" s="13"/>
      <c r="AB4" s="13"/>
      <c r="AC4" s="13"/>
      <c r="AD4" s="13"/>
      <c r="AE4" s="13"/>
      <c r="AF4" s="13"/>
      <c r="AG4" s="16" t="s">
        <v>52</v>
      </c>
      <c r="AH4" s="13"/>
      <c r="AI4" s="13"/>
      <c r="AJ4" s="13"/>
      <c r="AK4" s="250" t="s">
        <v>495</v>
      </c>
      <c r="AM4" s="13"/>
      <c r="AN4" s="13"/>
      <c r="AO4" s="13"/>
      <c r="AP4" s="13"/>
      <c r="AQ4" s="13"/>
      <c r="AR4" s="13"/>
      <c r="AS4" s="13"/>
      <c r="AT4" s="13"/>
      <c r="AU4" s="13"/>
      <c r="AV4" s="1504" t="s">
        <v>779</v>
      </c>
      <c r="AW4" s="1504"/>
      <c r="AX4" s="1504"/>
      <c r="AY4" s="1504"/>
      <c r="AZ4" s="1504"/>
      <c r="BA4" s="1504"/>
      <c r="BB4" s="1504"/>
      <c r="BC4" s="1504"/>
      <c r="BD4" s="1504"/>
      <c r="BE4" s="1504"/>
      <c r="BF4" s="1504"/>
      <c r="BG4" s="1504"/>
      <c r="BI4" s="278" t="s">
        <v>651</v>
      </c>
      <c r="BJ4" s="279"/>
      <c r="BK4" s="1082" t="s">
        <v>681</v>
      </c>
      <c r="BL4" s="1082"/>
      <c r="BM4" s="1082"/>
      <c r="BN4" s="1082"/>
      <c r="BO4" s="1083"/>
      <c r="BP4" s="280" t="s">
        <v>652</v>
      </c>
      <c r="BQ4" s="281"/>
      <c r="BR4" s="684"/>
      <c r="BS4" s="1082" t="s">
        <v>653</v>
      </c>
      <c r="BT4" s="1082"/>
      <c r="BU4" s="1082"/>
      <c r="BV4" s="1082"/>
      <c r="BW4" s="1082"/>
      <c r="BX4" s="1085"/>
      <c r="BZ4" s="1490">
        <f>C2</f>
        <v>2020</v>
      </c>
      <c r="CA4" s="1491"/>
      <c r="CB4" s="1492"/>
      <c r="CC4" s="563"/>
      <c r="CD4" s="1493">
        <f>BZ20+1</f>
        <v>2022</v>
      </c>
      <c r="CE4" s="1494"/>
    </row>
    <row r="5" spans="1:83" ht="18.75" customHeight="1" x14ac:dyDescent="0.25">
      <c r="A5" s="13"/>
      <c r="B5" s="660" t="s">
        <v>818</v>
      </c>
      <c r="C5" s="663" t="s">
        <v>800</v>
      </c>
      <c r="D5" s="665">
        <f>COUNTIF(C12:AH41,C5)</f>
        <v>9</v>
      </c>
      <c r="E5" s="666" t="s">
        <v>7</v>
      </c>
      <c r="F5" s="665">
        <f>COUNTIF(C12:AH41,E5)</f>
        <v>12</v>
      </c>
      <c r="G5" s="669" t="s">
        <v>700</v>
      </c>
      <c r="H5" s="13"/>
      <c r="I5" s="1513"/>
      <c r="J5" s="1513"/>
      <c r="K5" s="1513"/>
      <c r="L5" s="1513"/>
      <c r="M5" s="1513"/>
      <c r="N5" s="1513"/>
      <c r="O5" s="1513"/>
      <c r="P5" s="1513"/>
      <c r="Q5" s="1513"/>
      <c r="R5" s="13"/>
      <c r="S5" s="13"/>
      <c r="T5" s="15" t="s">
        <v>53</v>
      </c>
      <c r="U5" s="17" t="s">
        <v>35</v>
      </c>
      <c r="V5" s="18"/>
      <c r="W5" s="18"/>
      <c r="X5" s="13"/>
      <c r="Y5" s="13"/>
      <c r="Z5" s="13"/>
      <c r="AA5" s="13"/>
      <c r="AB5" s="13"/>
      <c r="AC5" s="13"/>
      <c r="AD5" s="13"/>
      <c r="AE5" s="13"/>
      <c r="AF5" s="13"/>
      <c r="AG5" s="13"/>
      <c r="AH5" s="13"/>
      <c r="AI5" s="13"/>
      <c r="AJ5" s="13"/>
      <c r="AK5" s="250" t="s">
        <v>863</v>
      </c>
      <c r="AM5" s="13"/>
      <c r="AN5" s="13"/>
      <c r="AO5" s="13"/>
      <c r="AP5" s="13"/>
      <c r="AQ5" s="13"/>
      <c r="AR5" s="13"/>
      <c r="AS5" s="13"/>
      <c r="AT5" s="13"/>
      <c r="AU5" s="13"/>
      <c r="AV5" s="1504" t="s">
        <v>78</v>
      </c>
      <c r="AW5" s="67" t="s">
        <v>58</v>
      </c>
      <c r="AX5" s="68"/>
      <c r="AY5" s="68"/>
      <c r="AZ5" s="68"/>
      <c r="BA5" s="68"/>
      <c r="BB5" s="68"/>
      <c r="BC5" s="68"/>
      <c r="BD5" s="56"/>
      <c r="BE5" s="56"/>
      <c r="BF5" s="56"/>
      <c r="BG5" s="56"/>
      <c r="BI5" s="278" t="s">
        <v>655</v>
      </c>
      <c r="BJ5" s="279"/>
      <c r="BK5" s="1082" t="s">
        <v>682</v>
      </c>
      <c r="BL5" s="1082"/>
      <c r="BM5" s="1082"/>
      <c r="BN5" s="1082"/>
      <c r="BO5" s="1083"/>
      <c r="BP5" s="280" t="s">
        <v>656</v>
      </c>
      <c r="BQ5" s="281"/>
      <c r="BR5" s="684"/>
      <c r="BS5" s="1082" t="s">
        <v>657</v>
      </c>
      <c r="BT5" s="1082"/>
      <c r="BU5" s="1082"/>
      <c r="BV5" s="1082"/>
      <c r="BW5" s="1082"/>
      <c r="BX5" s="1085"/>
      <c r="BZ5" s="359">
        <f t="shared" ref="BZ5:BZ17" si="0">CA5</f>
        <v>43831</v>
      </c>
      <c r="CA5" s="360">
        <f>DATE(BZ4,1,1)</f>
        <v>43831</v>
      </c>
      <c r="CB5" s="361" t="s">
        <v>721</v>
      </c>
      <c r="CC5" s="563"/>
      <c r="CD5" s="1495" t="s">
        <v>722</v>
      </c>
      <c r="CE5" s="1496"/>
    </row>
    <row r="6" spans="1:83" ht="15.75" customHeight="1" x14ac:dyDescent="0.3">
      <c r="A6" s="13"/>
      <c r="B6" s="660" t="s">
        <v>819</v>
      </c>
      <c r="C6" s="636" t="s">
        <v>8</v>
      </c>
      <c r="D6" s="665">
        <f>COUNTIF(C12:AH41,C6)</f>
        <v>0</v>
      </c>
      <c r="E6" s="637" t="s">
        <v>360</v>
      </c>
      <c r="F6" s="665">
        <f>COUNTIF(C12:AH41,E6)</f>
        <v>15</v>
      </c>
      <c r="G6" s="670" t="s">
        <v>821</v>
      </c>
      <c r="H6" s="13"/>
      <c r="I6" s="1513"/>
      <c r="J6" s="1513"/>
      <c r="K6" s="1513"/>
      <c r="L6" s="1513"/>
      <c r="M6" s="1513"/>
      <c r="N6" s="1513"/>
      <c r="O6" s="1513"/>
      <c r="P6" s="1513"/>
      <c r="Q6" s="1513"/>
      <c r="R6" s="13"/>
      <c r="S6" s="13"/>
      <c r="T6" s="13"/>
      <c r="U6" s="263" t="s">
        <v>843</v>
      </c>
      <c r="V6" s="13"/>
      <c r="W6" s="13"/>
      <c r="X6" s="13"/>
      <c r="Y6" s="13"/>
      <c r="Z6" s="13"/>
      <c r="AA6" s="13"/>
      <c r="AB6" s="13"/>
      <c r="AC6" s="13"/>
      <c r="AD6" s="13"/>
      <c r="AE6" s="13"/>
      <c r="AF6" s="13"/>
      <c r="AG6" s="13"/>
      <c r="AH6" s="13"/>
      <c r="AI6" s="13"/>
      <c r="AJ6" s="13"/>
      <c r="AK6" s="44" t="s">
        <v>497</v>
      </c>
      <c r="AM6" s="13"/>
      <c r="AN6" s="13"/>
      <c r="AO6" s="13"/>
      <c r="AP6" s="13"/>
      <c r="AQ6" s="13"/>
      <c r="AR6" s="13"/>
      <c r="AS6" s="13"/>
      <c r="AT6" s="13"/>
      <c r="AU6" s="13"/>
      <c r="AV6" s="1504"/>
      <c r="AW6" s="46" t="s">
        <v>59</v>
      </c>
      <c r="AX6" s="47"/>
      <c r="AY6" s="48"/>
      <c r="AZ6" s="47" t="s">
        <v>60</v>
      </c>
      <c r="BA6" s="46"/>
      <c r="BB6" s="46"/>
      <c r="BC6" s="49"/>
      <c r="BD6" s="48"/>
      <c r="BE6" s="48"/>
      <c r="BF6" s="48"/>
      <c r="BG6" s="48"/>
      <c r="BI6" s="1086" t="s">
        <v>512</v>
      </c>
      <c r="BJ6" s="1087"/>
      <c r="BK6" s="1087"/>
      <c r="BL6" s="1087"/>
      <c r="BM6" s="1087"/>
      <c r="BN6" s="1087"/>
      <c r="BO6" s="1087"/>
      <c r="BP6" s="1087"/>
      <c r="BQ6" s="1087"/>
      <c r="BR6" s="1087"/>
      <c r="BS6" s="1087"/>
      <c r="BT6" s="1087"/>
      <c r="BU6" s="1087"/>
      <c r="BV6" s="1087"/>
      <c r="BW6" s="1087"/>
      <c r="BX6" s="1088"/>
      <c r="BZ6" s="359">
        <f t="shared" si="0"/>
        <v>43933</v>
      </c>
      <c r="CA6" s="360">
        <f>DATE(BZ4,3,29.56+0.979*MOD(204-11*MOD(BZ4,19),30)-WEEKDAY(DATE(BZ4,3,28.56+0.979*MOD(204-11*MOD(BZ4,19),30))))</f>
        <v>43933</v>
      </c>
      <c r="CB6" s="361" t="s">
        <v>585</v>
      </c>
      <c r="CC6" s="563"/>
      <c r="CD6" s="362" t="s">
        <v>723</v>
      </c>
      <c r="CE6" s="363">
        <f>DATE(CD4-1,12,25)</f>
        <v>44555</v>
      </c>
    </row>
    <row r="7" spans="1:83" ht="19.5" thickBot="1" x14ac:dyDescent="0.3">
      <c r="A7" s="13"/>
      <c r="B7" s="661" t="s">
        <v>822</v>
      </c>
      <c r="C7" s="664" t="s">
        <v>6</v>
      </c>
      <c r="D7" s="665">
        <f>COUNTIF(C12:AH41,C7)</f>
        <v>17</v>
      </c>
      <c r="E7" s="667" t="s">
        <v>799</v>
      </c>
      <c r="F7" s="665">
        <f>COUNTIF(C12:AH41,E7)</f>
        <v>0</v>
      </c>
      <c r="G7" s="671" t="s">
        <v>823</v>
      </c>
      <c r="H7" s="13"/>
      <c r="I7" s="1514"/>
      <c r="J7" s="1514"/>
      <c r="K7" s="1514"/>
      <c r="L7" s="1514"/>
      <c r="M7" s="1514"/>
      <c r="N7" s="1514"/>
      <c r="O7" s="1514"/>
      <c r="P7" s="1514"/>
      <c r="Q7" s="1514"/>
      <c r="R7" s="13"/>
      <c r="S7" s="13"/>
      <c r="T7" s="13"/>
      <c r="U7" s="13"/>
      <c r="V7" s="13"/>
      <c r="W7" s="13"/>
      <c r="X7" s="13"/>
      <c r="Y7" s="13"/>
      <c r="Z7" s="13"/>
      <c r="AA7" s="13"/>
      <c r="AB7" s="13"/>
      <c r="AC7" s="13"/>
      <c r="AD7" s="13"/>
      <c r="AE7" s="13"/>
      <c r="AF7" s="13"/>
      <c r="AG7" s="13"/>
      <c r="AH7" s="13"/>
      <c r="AI7" s="13"/>
      <c r="AJ7" s="13"/>
      <c r="AK7" s="44" t="s">
        <v>489</v>
      </c>
      <c r="AM7" s="13"/>
      <c r="AN7" s="13"/>
      <c r="AO7" s="13"/>
      <c r="AP7" s="13"/>
      <c r="AQ7" s="13"/>
      <c r="AR7" s="13"/>
      <c r="AS7" s="13"/>
      <c r="AT7" s="13"/>
      <c r="AU7" s="13"/>
      <c r="AV7" s="1504"/>
      <c r="AW7" s="54"/>
      <c r="AX7" s="72"/>
      <c r="AY7" s="1505" t="s">
        <v>61</v>
      </c>
      <c r="AZ7" s="1505"/>
      <c r="BA7" s="1505"/>
      <c r="BB7" s="1505"/>
      <c r="BC7" s="676" t="s">
        <v>830</v>
      </c>
      <c r="BD7" s="56"/>
      <c r="BE7" s="56"/>
      <c r="BF7" s="56"/>
      <c r="BG7" s="56"/>
      <c r="BI7" s="285"/>
      <c r="BJ7" s="286" t="str">
        <f ca="1">CELL("nomfichier")</f>
        <v>E:\UPRT a faire\so-plannings.copie\[calendrier.Pascal.Grandet.xlsx]Calendrier.Pascal.Grandet</v>
      </c>
      <c r="BK7" s="287"/>
      <c r="BL7" s="287"/>
      <c r="BM7" s="287"/>
      <c r="BN7" s="287"/>
      <c r="BO7" s="287"/>
      <c r="BP7" s="287"/>
      <c r="BQ7" s="287"/>
      <c r="BR7" s="287"/>
      <c r="BS7" s="287"/>
      <c r="BT7" s="287"/>
      <c r="BU7" s="287"/>
      <c r="BV7" s="287"/>
      <c r="BW7" s="287"/>
      <c r="BX7" s="288"/>
      <c r="BZ7" s="359">
        <f t="shared" si="0"/>
        <v>43934</v>
      </c>
      <c r="CA7" s="360">
        <f>CA6+1</f>
        <v>43934</v>
      </c>
      <c r="CB7" s="361" t="s">
        <v>725</v>
      </c>
      <c r="CC7" s="563"/>
      <c r="CD7" s="364" t="s">
        <v>721</v>
      </c>
      <c r="CE7" s="365">
        <f>DATE(CD4,1,1)</f>
        <v>44562</v>
      </c>
    </row>
    <row r="8" spans="1:83" ht="14.25" customHeight="1" x14ac:dyDescent="0.25">
      <c r="A8" s="13"/>
      <c r="B8" s="20">
        <f>DATE($C$2,MONTH(1&amp;"/"&amp;C9),1)</f>
        <v>43831</v>
      </c>
      <c r="C8" s="14">
        <f>B8</f>
        <v>43831</v>
      </c>
      <c r="D8" s="14">
        <f>IFERROR(IF(C8+1&gt;$B$9,"",C8+1),"")</f>
        <v>43832</v>
      </c>
      <c r="E8" s="14">
        <f t="shared" ref="E8:AG8" si="1">IFERROR(IF(D8+1&gt;$B$9,"",D8+1),"")</f>
        <v>43833</v>
      </c>
      <c r="F8" s="14">
        <f t="shared" si="1"/>
        <v>43834</v>
      </c>
      <c r="G8" s="14">
        <f t="shared" si="1"/>
        <v>43835</v>
      </c>
      <c r="H8" s="14">
        <f t="shared" si="1"/>
        <v>43836</v>
      </c>
      <c r="I8" s="14">
        <f t="shared" si="1"/>
        <v>43837</v>
      </c>
      <c r="J8" s="14">
        <f t="shared" si="1"/>
        <v>43838</v>
      </c>
      <c r="K8" s="14">
        <f t="shared" si="1"/>
        <v>43839</v>
      </c>
      <c r="L8" s="14">
        <f t="shared" si="1"/>
        <v>43840</v>
      </c>
      <c r="M8" s="14">
        <f t="shared" si="1"/>
        <v>43841</v>
      </c>
      <c r="N8" s="14">
        <f t="shared" si="1"/>
        <v>43842</v>
      </c>
      <c r="O8" s="14">
        <f t="shared" si="1"/>
        <v>43843</v>
      </c>
      <c r="P8" s="14">
        <f t="shared" si="1"/>
        <v>43844</v>
      </c>
      <c r="Q8" s="14">
        <f t="shared" si="1"/>
        <v>43845</v>
      </c>
      <c r="R8" s="14">
        <f t="shared" si="1"/>
        <v>43846</v>
      </c>
      <c r="S8" s="14">
        <f t="shared" si="1"/>
        <v>43847</v>
      </c>
      <c r="T8" s="14">
        <f t="shared" si="1"/>
        <v>43848</v>
      </c>
      <c r="U8" s="14">
        <f t="shared" si="1"/>
        <v>43849</v>
      </c>
      <c r="V8" s="14">
        <f t="shared" si="1"/>
        <v>43850</v>
      </c>
      <c r="W8" s="14">
        <f t="shared" si="1"/>
        <v>43851</v>
      </c>
      <c r="X8" s="14">
        <f t="shared" si="1"/>
        <v>43852</v>
      </c>
      <c r="Y8" s="14">
        <f t="shared" si="1"/>
        <v>43853</v>
      </c>
      <c r="Z8" s="14">
        <f t="shared" si="1"/>
        <v>43854</v>
      </c>
      <c r="AA8" s="14">
        <f t="shared" si="1"/>
        <v>43855</v>
      </c>
      <c r="AB8" s="14">
        <f t="shared" si="1"/>
        <v>43856</v>
      </c>
      <c r="AC8" s="14">
        <f t="shared" si="1"/>
        <v>43857</v>
      </c>
      <c r="AD8" s="14">
        <f t="shared" si="1"/>
        <v>43858</v>
      </c>
      <c r="AE8" s="14">
        <f t="shared" si="1"/>
        <v>43859</v>
      </c>
      <c r="AF8" s="14">
        <f t="shared" si="1"/>
        <v>43860</v>
      </c>
      <c r="AG8" s="14">
        <f t="shared" si="1"/>
        <v>43861</v>
      </c>
      <c r="AH8" s="258"/>
      <c r="AI8" s="259"/>
      <c r="AJ8" s="13"/>
      <c r="AK8" s="44" t="s">
        <v>113</v>
      </c>
      <c r="AM8" s="13"/>
      <c r="AN8" s="13"/>
      <c r="AO8" s="13"/>
      <c r="AP8" s="13"/>
      <c r="AQ8" s="13"/>
      <c r="AR8" s="13"/>
      <c r="AS8" s="13"/>
      <c r="AT8" s="13"/>
      <c r="AU8" s="13"/>
      <c r="AV8" s="487"/>
      <c r="AW8" s="54"/>
      <c r="AX8" s="72"/>
      <c r="AY8" s="56"/>
      <c r="AZ8" s="56"/>
      <c r="BA8" s="56"/>
      <c r="BB8" s="56"/>
      <c r="BC8" s="56"/>
      <c r="BD8" s="56"/>
      <c r="BE8" s="56"/>
      <c r="BF8" s="56"/>
      <c r="BG8" s="56"/>
      <c r="BI8" s="290"/>
      <c r="BJ8" s="592" t="s">
        <v>513</v>
      </c>
      <c r="BK8" s="291"/>
      <c r="BL8" s="292"/>
      <c r="BM8" s="293" t="s">
        <v>297</v>
      </c>
      <c r="BN8" s="294"/>
      <c r="BO8" s="292"/>
      <c r="BP8" s="295"/>
      <c r="BQ8" s="295"/>
      <c r="BR8" s="295"/>
      <c r="BS8" s="296" t="s">
        <v>517</v>
      </c>
      <c r="BT8" s="297"/>
      <c r="BU8" s="298" t="s">
        <v>57</v>
      </c>
      <c r="BV8" s="299"/>
      <c r="BW8" s="299"/>
      <c r="BX8" s="300"/>
      <c r="BZ8" s="359">
        <f t="shared" si="0"/>
        <v>43952</v>
      </c>
      <c r="CA8" s="360">
        <f>DATE(BZ4,5,1)</f>
        <v>43952</v>
      </c>
      <c r="CB8" s="361" t="s">
        <v>726</v>
      </c>
      <c r="CC8" s="563"/>
      <c r="CD8" s="362" t="s">
        <v>585</v>
      </c>
      <c r="CE8" s="363">
        <f>ROUND(DATE(CD4,4,MOD(234-11*MOD(CD4,19),30))/7,)*7-6</f>
        <v>44668</v>
      </c>
    </row>
    <row r="9" spans="1:83" ht="19.5" thickBot="1" x14ac:dyDescent="0.3">
      <c r="A9" s="13"/>
      <c r="B9" s="21">
        <f>EOMONTH(B8,0)</f>
        <v>43861</v>
      </c>
      <c r="C9" s="1479" t="s">
        <v>36</v>
      </c>
      <c r="D9" s="1480"/>
      <c r="E9" s="1480"/>
      <c r="F9" s="1480"/>
      <c r="G9" s="1480"/>
      <c r="H9" s="1480"/>
      <c r="I9" s="1480"/>
      <c r="J9" s="1480"/>
      <c r="K9" s="1480"/>
      <c r="L9" s="1480"/>
      <c r="M9" s="1480"/>
      <c r="N9" s="1480"/>
      <c r="O9" s="1480"/>
      <c r="P9" s="1480"/>
      <c r="Q9" s="1480"/>
      <c r="R9" s="1480"/>
      <c r="S9" s="1480"/>
      <c r="T9" s="1480"/>
      <c r="U9" s="1480"/>
      <c r="V9" s="1480"/>
      <c r="W9" s="1480"/>
      <c r="X9" s="1480"/>
      <c r="Y9" s="1480"/>
      <c r="Z9" s="1480"/>
      <c r="AA9" s="1480"/>
      <c r="AB9" s="1480"/>
      <c r="AC9" s="1480"/>
      <c r="AD9" s="1480"/>
      <c r="AE9" s="1480"/>
      <c r="AF9" s="1480"/>
      <c r="AG9" s="1481"/>
      <c r="AH9" s="257"/>
      <c r="AI9" s="260"/>
      <c r="AJ9" s="13"/>
      <c r="AK9" s="44" t="s">
        <v>114</v>
      </c>
      <c r="AM9" s="13"/>
      <c r="AN9" s="13"/>
      <c r="AO9" s="13"/>
      <c r="AP9" s="13"/>
      <c r="AQ9" s="13"/>
      <c r="AR9" s="13"/>
      <c r="AS9" s="13"/>
      <c r="AT9" s="13"/>
      <c r="AU9" s="13"/>
      <c r="AV9" s="94" t="s">
        <v>79</v>
      </c>
      <c r="AW9" s="50">
        <v>0.27083333333333331</v>
      </c>
      <c r="AX9" s="50">
        <v>0.4375</v>
      </c>
      <c r="AY9" s="51"/>
      <c r="AZ9" s="52">
        <f>IF(AX9-AW9=0,0,(AX9-AW9)-(AY9*TIMEVALUE("00:30")))</f>
        <v>0.16666666666666669</v>
      </c>
      <c r="BA9" s="53" t="s">
        <v>62</v>
      </c>
      <c r="BB9" s="54"/>
      <c r="BC9" s="55"/>
      <c r="BD9" s="56"/>
      <c r="BE9" s="56"/>
      <c r="BF9" s="56"/>
      <c r="BG9" s="56"/>
      <c r="BI9" s="290"/>
      <c r="BJ9" s="292"/>
      <c r="BK9" s="292"/>
      <c r="BL9" s="292"/>
      <c r="BM9" s="292"/>
      <c r="BN9" s="294"/>
      <c r="BO9" s="292"/>
      <c r="BP9" s="295"/>
      <c r="BQ9" s="295"/>
      <c r="BR9" s="295"/>
      <c r="BS9" s="301" t="s">
        <v>522</v>
      </c>
      <c r="BT9" s="297"/>
      <c r="BU9" s="302">
        <f ca="1">NOW()</f>
        <v>44232.80612465278</v>
      </c>
      <c r="BV9" s="303"/>
      <c r="BW9" s="304"/>
      <c r="BX9" s="304"/>
      <c r="BZ9" s="359">
        <f t="shared" si="0"/>
        <v>43959</v>
      </c>
      <c r="CA9" s="360">
        <f>DATE(BZ4,5,8)</f>
        <v>43959</v>
      </c>
      <c r="CB9" s="361" t="s">
        <v>728</v>
      </c>
      <c r="CC9" s="563"/>
      <c r="CD9" s="362" t="s">
        <v>725</v>
      </c>
      <c r="CE9" s="363">
        <f>CE8+1</f>
        <v>44669</v>
      </c>
    </row>
    <row r="10" spans="1:83" ht="18.75" customHeight="1" x14ac:dyDescent="0.25">
      <c r="A10" s="13"/>
      <c r="B10" s="261"/>
      <c r="C10" s="6">
        <f t="shared" ref="C10:AG10" si="2">IFERROR(DAY(C8),"")</f>
        <v>1</v>
      </c>
      <c r="D10" s="3">
        <f t="shared" si="2"/>
        <v>2</v>
      </c>
      <c r="E10" s="3">
        <f t="shared" si="2"/>
        <v>3</v>
      </c>
      <c r="F10" s="3">
        <f t="shared" si="2"/>
        <v>4</v>
      </c>
      <c r="G10" s="3">
        <f t="shared" si="2"/>
        <v>5</v>
      </c>
      <c r="H10" s="3">
        <f t="shared" si="2"/>
        <v>6</v>
      </c>
      <c r="I10" s="3">
        <f t="shared" si="2"/>
        <v>7</v>
      </c>
      <c r="J10" s="3">
        <f t="shared" si="2"/>
        <v>8</v>
      </c>
      <c r="K10" s="3">
        <f t="shared" si="2"/>
        <v>9</v>
      </c>
      <c r="L10" s="3">
        <f t="shared" si="2"/>
        <v>10</v>
      </c>
      <c r="M10" s="3">
        <f t="shared" si="2"/>
        <v>11</v>
      </c>
      <c r="N10" s="3">
        <f t="shared" si="2"/>
        <v>12</v>
      </c>
      <c r="O10" s="3">
        <f t="shared" si="2"/>
        <v>13</v>
      </c>
      <c r="P10" s="3">
        <f t="shared" si="2"/>
        <v>14</v>
      </c>
      <c r="Q10" s="3">
        <f t="shared" si="2"/>
        <v>15</v>
      </c>
      <c r="R10" s="3">
        <f t="shared" si="2"/>
        <v>16</v>
      </c>
      <c r="S10" s="3">
        <f t="shared" si="2"/>
        <v>17</v>
      </c>
      <c r="T10" s="3">
        <f t="shared" si="2"/>
        <v>18</v>
      </c>
      <c r="U10" s="3">
        <f t="shared" si="2"/>
        <v>19</v>
      </c>
      <c r="V10" s="3">
        <f t="shared" si="2"/>
        <v>20</v>
      </c>
      <c r="W10" s="3">
        <f t="shared" si="2"/>
        <v>21</v>
      </c>
      <c r="X10" s="3">
        <f t="shared" si="2"/>
        <v>22</v>
      </c>
      <c r="Y10" s="3">
        <f t="shared" si="2"/>
        <v>23</v>
      </c>
      <c r="Z10" s="3">
        <f t="shared" si="2"/>
        <v>24</v>
      </c>
      <c r="AA10" s="3">
        <f t="shared" si="2"/>
        <v>25</v>
      </c>
      <c r="AB10" s="3">
        <f t="shared" si="2"/>
        <v>26</v>
      </c>
      <c r="AC10" s="3">
        <f t="shared" si="2"/>
        <v>27</v>
      </c>
      <c r="AD10" s="3">
        <f t="shared" si="2"/>
        <v>28</v>
      </c>
      <c r="AE10" s="3">
        <f t="shared" si="2"/>
        <v>29</v>
      </c>
      <c r="AF10" s="3">
        <f t="shared" si="2"/>
        <v>30</v>
      </c>
      <c r="AG10" s="7">
        <f t="shared" si="2"/>
        <v>31</v>
      </c>
      <c r="AH10" s="257"/>
      <c r="AI10" s="705" t="s">
        <v>662</v>
      </c>
      <c r="AJ10" s="13"/>
      <c r="AK10" s="13"/>
      <c r="AL10" s="45" t="s">
        <v>861</v>
      </c>
      <c r="AM10" s="13"/>
      <c r="AN10" s="13"/>
      <c r="AP10" s="13"/>
      <c r="AQ10" s="13"/>
      <c r="AR10" s="13"/>
      <c r="AS10" s="13"/>
      <c r="AT10" s="13"/>
      <c r="AU10" s="13"/>
      <c r="AV10" s="70"/>
      <c r="AW10" s="57"/>
      <c r="AX10" s="57"/>
      <c r="AY10" s="57"/>
      <c r="AZ10" s="54"/>
      <c r="BA10" s="54"/>
      <c r="BB10" s="54"/>
      <c r="BC10" s="55"/>
      <c r="BD10" s="56"/>
      <c r="BE10" s="56"/>
      <c r="BF10" s="56"/>
      <c r="BG10" s="56"/>
      <c r="BI10" s="290"/>
      <c r="BJ10" s="305">
        <f>BJ9+1</f>
        <v>1</v>
      </c>
      <c r="BK10" s="306" t="s">
        <v>514</v>
      </c>
      <c r="BL10" s="292"/>
      <c r="BM10" s="292"/>
      <c r="BN10" s="294"/>
      <c r="BO10" s="292"/>
      <c r="BP10" s="295"/>
      <c r="BQ10" s="295"/>
      <c r="BR10" s="295"/>
      <c r="BS10" s="307" t="s">
        <v>527</v>
      </c>
      <c r="BT10" s="292"/>
      <c r="BU10" s="295"/>
      <c r="BV10" s="292"/>
      <c r="BW10" s="292"/>
      <c r="BX10" s="308"/>
      <c r="BZ10" s="359">
        <f t="shared" si="0"/>
        <v>43972</v>
      </c>
      <c r="CA10" s="360">
        <f>CA6+39</f>
        <v>43972</v>
      </c>
      <c r="CB10" s="361" t="s">
        <v>729</v>
      </c>
      <c r="CC10" s="563"/>
      <c r="CD10" s="362" t="s">
        <v>726</v>
      </c>
      <c r="CE10" s="363">
        <f>DATE(CD4,5,1)</f>
        <v>44682</v>
      </c>
    </row>
    <row r="11" spans="1:83" ht="19.5" thickBot="1" x14ac:dyDescent="0.3">
      <c r="A11" s="13"/>
      <c r="B11" s="262"/>
      <c r="C11" s="5">
        <f t="shared" ref="C11:AC11" si="3">IF(C8="","",WEEKDAY(C8,1))</f>
        <v>4</v>
      </c>
      <c r="D11" s="8">
        <f t="shared" si="3"/>
        <v>5</v>
      </c>
      <c r="E11" s="8">
        <f t="shared" si="3"/>
        <v>6</v>
      </c>
      <c r="F11" s="8">
        <f t="shared" si="3"/>
        <v>7</v>
      </c>
      <c r="G11" s="8">
        <f t="shared" si="3"/>
        <v>1</v>
      </c>
      <c r="H11" s="8">
        <f t="shared" si="3"/>
        <v>2</v>
      </c>
      <c r="I11" s="8">
        <f t="shared" si="3"/>
        <v>3</v>
      </c>
      <c r="J11" s="8">
        <f t="shared" si="3"/>
        <v>4</v>
      </c>
      <c r="K11" s="8">
        <f t="shared" si="3"/>
        <v>5</v>
      </c>
      <c r="L11" s="8">
        <f t="shared" si="3"/>
        <v>6</v>
      </c>
      <c r="M11" s="8">
        <f t="shared" si="3"/>
        <v>7</v>
      </c>
      <c r="N11" s="8">
        <f t="shared" si="3"/>
        <v>1</v>
      </c>
      <c r="O11" s="8">
        <f t="shared" si="3"/>
        <v>2</v>
      </c>
      <c r="P11" s="8">
        <f t="shared" si="3"/>
        <v>3</v>
      </c>
      <c r="Q11" s="8">
        <f t="shared" si="3"/>
        <v>4</v>
      </c>
      <c r="R11" s="8">
        <f t="shared" si="3"/>
        <v>5</v>
      </c>
      <c r="S11" s="8">
        <f t="shared" si="3"/>
        <v>6</v>
      </c>
      <c r="T11" s="8">
        <f t="shared" si="3"/>
        <v>7</v>
      </c>
      <c r="U11" s="8">
        <f t="shared" si="3"/>
        <v>1</v>
      </c>
      <c r="V11" s="8">
        <f t="shared" si="3"/>
        <v>2</v>
      </c>
      <c r="W11" s="8">
        <f t="shared" si="3"/>
        <v>3</v>
      </c>
      <c r="X11" s="8">
        <f t="shared" si="3"/>
        <v>4</v>
      </c>
      <c r="Y11" s="8">
        <f t="shared" si="3"/>
        <v>5</v>
      </c>
      <c r="Z11" s="8">
        <f t="shared" si="3"/>
        <v>6</v>
      </c>
      <c r="AA11" s="8">
        <f t="shared" si="3"/>
        <v>7</v>
      </c>
      <c r="AB11" s="8">
        <f t="shared" si="3"/>
        <v>1</v>
      </c>
      <c r="AC11" s="8">
        <f t="shared" si="3"/>
        <v>2</v>
      </c>
      <c r="AD11" s="8">
        <f>IF(AD8="","",WEEKDAY(AD8,1))</f>
        <v>3</v>
      </c>
      <c r="AE11" s="8">
        <f>IF(AE8="","",WEEKDAY(AE8,1))</f>
        <v>4</v>
      </c>
      <c r="AF11" s="8">
        <f t="shared" ref="AF11:AG11" si="4">IF(AF8="","",WEEKDAY(AF8,1))</f>
        <v>5</v>
      </c>
      <c r="AG11" s="9">
        <f t="shared" si="4"/>
        <v>6</v>
      </c>
      <c r="AH11" s="636" t="s">
        <v>8</v>
      </c>
      <c r="AI11" s="707" t="s">
        <v>800</v>
      </c>
      <c r="AJ11" s="13"/>
      <c r="AK11" s="13"/>
      <c r="AL11" s="45" t="s">
        <v>502</v>
      </c>
      <c r="AM11" s="13"/>
      <c r="AN11" s="13"/>
      <c r="AP11" s="13"/>
      <c r="AQ11" s="13"/>
      <c r="AR11" s="13"/>
      <c r="AS11" s="13"/>
      <c r="AT11" s="13"/>
      <c r="AU11" s="13"/>
      <c r="AV11" s="94" t="s">
        <v>80</v>
      </c>
      <c r="AW11" s="50">
        <v>0.33333333333333331</v>
      </c>
      <c r="AX11" s="50">
        <v>0.5</v>
      </c>
      <c r="AY11" s="51"/>
      <c r="AZ11" s="52">
        <f>IF(AX11-AW11=0,0,(AX11-AW11)-(AY11*TIMEVALUE("00:30")))</f>
        <v>0.16666666666666669</v>
      </c>
      <c r="BA11" s="53" t="s">
        <v>63</v>
      </c>
      <c r="BB11" s="54"/>
      <c r="BC11" s="55"/>
      <c r="BD11" s="56"/>
      <c r="BE11" s="56"/>
      <c r="BF11" s="56"/>
      <c r="BG11" s="56"/>
      <c r="BI11" s="290"/>
      <c r="BJ11" s="292"/>
      <c r="BK11" s="292"/>
      <c r="BL11" s="292"/>
      <c r="BM11" s="292"/>
      <c r="BN11" s="294"/>
      <c r="BO11" s="292"/>
      <c r="BP11" s="295"/>
      <c r="BQ11" s="295"/>
      <c r="BR11" s="295"/>
      <c r="BS11" s="309" t="s">
        <v>366</v>
      </c>
      <c r="BT11" s="292"/>
      <c r="BU11" s="295"/>
      <c r="BV11" s="292"/>
      <c r="BW11" s="292"/>
      <c r="BX11" s="310"/>
      <c r="BZ11" s="359">
        <f t="shared" si="0"/>
        <v>43982</v>
      </c>
      <c r="CA11" s="360">
        <f>CA6+49</f>
        <v>43982</v>
      </c>
      <c r="CB11" s="361" t="s">
        <v>731</v>
      </c>
      <c r="CC11" s="563"/>
      <c r="CD11" s="362" t="s">
        <v>728</v>
      </c>
      <c r="CE11" s="363">
        <f>DATE(CD4,5,8)</f>
        <v>44689</v>
      </c>
    </row>
    <row r="12" spans="1:83" ht="14.25" customHeight="1" thickBot="1" x14ac:dyDescent="0.3">
      <c r="A12" s="13"/>
      <c r="B12" s="696" t="s">
        <v>500</v>
      </c>
      <c r="C12" s="246" t="str">
        <f t="array" ref="C12">IFERROR(INDEX($AM$20:$AP$119,MATCH(1,(C$8&gt;=$AO$20:$AO$119)*($AP$20:$AP$119&gt;=C$8)*($AM$20:$AM$119=$B$12),0),2),"")</f>
        <v/>
      </c>
      <c r="D12" s="247" t="str">
        <f t="array" ref="D12">IFERROR(INDEX($AM$20:$AP$119,MATCH(1,(D$8&gt;=$AO$20:$AO$119)*($AP$20:$AP$119&gt;=D$8)*($AM$20:$AM$119=$B$12),0),2),"")</f>
        <v/>
      </c>
      <c r="E12" s="247" t="str">
        <f t="array" ref="E12">IFERROR(INDEX($AM$20:$AP$119,MATCH(1,(E$8&gt;=$AO$20:$AO$119)*($AP$20:$AP$119&gt;=E$8)*($AM$20:$AM$119=$B$12),0),2),"")</f>
        <v/>
      </c>
      <c r="F12" s="247" t="str">
        <f t="array" ref="F12">IFERROR(INDEX($AM$20:$AP$119,MATCH(1,(F$8&gt;=$AO$20:$AO$119)*($AP$20:$AP$119&gt;=F$8)*($AM$20:$AM$119=$B$12),0),2),"")</f>
        <v/>
      </c>
      <c r="G12" s="247" t="str">
        <f t="array" ref="G12">IFERROR(INDEX($AM$20:$AP$119,MATCH(1,(G$8&gt;=$AO$20:$AO$119)*($AP$20:$AP$119&gt;=G$8)*($AM$20:$AM$119=$B$12),0),2),"")</f>
        <v/>
      </c>
      <c r="H12" s="247" t="str">
        <f t="array" ref="H12">IFERROR(INDEX($AM$20:$AP$119,MATCH(1,(H$8&gt;=$AO$20:$AO$119)*($AP$20:$AP$119&gt;=H$8)*($AM$20:$AM$119=$B$12),0),2),"")</f>
        <v/>
      </c>
      <c r="I12" s="247" t="str">
        <f t="array" ref="I12">IFERROR(INDEX($AM$20:$AP$119,MATCH(1,(I$8&gt;=$AO$20:$AO$119)*($AP$20:$AP$119&gt;=I$8)*($AM$20:$AM$119=$B$12),0),2),"")</f>
        <v/>
      </c>
      <c r="J12" s="247" t="str">
        <f t="array" ref="J12">IFERROR(INDEX($AM$20:$AP$119,MATCH(1,(J$8&gt;=$AO$20:$AO$119)*($AP$20:$AP$119&gt;=J$8)*($AM$20:$AM$119=$B$12),0),2),"")</f>
        <v/>
      </c>
      <c r="K12" s="247" t="str">
        <f t="array" ref="K12">IFERROR(INDEX($AM$20:$AP$119,MATCH(1,(K$8&gt;=$AO$20:$AO$119)*($AP$20:$AP$119&gt;=K$8)*($AM$20:$AM$119=$B$12),0),2),"")</f>
        <v/>
      </c>
      <c r="L12" s="247" t="str">
        <f t="array" ref="L12">IFERROR(INDEX($AM$20:$AP$119,MATCH(1,(L$8&gt;=$AO$20:$AO$119)*($AP$20:$AP$119&gt;=L$8)*($AM$20:$AM$119=$B$12),0),2),"")</f>
        <v/>
      </c>
      <c r="M12" s="247" t="str">
        <f t="array" ref="M12">IFERROR(INDEX($AM$20:$AP$119,MATCH(1,(M$8&gt;=$AO$20:$AO$119)*($AP$20:$AP$119&gt;=M$8)*($AM$20:$AM$119=$B$12),0),2),"")</f>
        <v/>
      </c>
      <c r="N12" s="247" t="str">
        <f t="array" ref="N12">IFERROR(INDEX($AM$20:$AP$119,MATCH(1,(N$8&gt;=$AO$20:$AO$119)*($AP$20:$AP$119&gt;=N$8)*($AM$20:$AM$119=$B$12),0),2),"")</f>
        <v/>
      </c>
      <c r="O12" s="247" t="str">
        <f t="array" ref="O12">IFERROR(INDEX($AM$20:$AP$119,MATCH(1,(O$8&gt;=$AO$20:$AO$119)*($AP$20:$AP$119&gt;=O$8)*($AM$20:$AM$119=$B$12),0),2),"")</f>
        <v/>
      </c>
      <c r="P12" s="247" t="str">
        <f t="array" ref="P12">IFERROR(INDEX($AM$20:$AP$119,MATCH(1,(P$8&gt;=$AO$20:$AO$119)*($AP$20:$AP$119&gt;=P$8)*($AM$20:$AM$119=$B$12),0),2),"")</f>
        <v/>
      </c>
      <c r="Q12" s="247" t="str">
        <f t="array" ref="Q12">IFERROR(INDEX($AM$20:$AP$119,MATCH(1,(Q$8&gt;=$AO$20:$AO$119)*($AP$20:$AP$119&gt;=Q$8)*($AM$20:$AM$119=$B$12),0),2),"")</f>
        <v/>
      </c>
      <c r="R12" s="247" t="str">
        <f t="array" ref="R12">IFERROR(INDEX($AM$20:$AP$119,MATCH(1,(R$8&gt;=$AO$20:$AO$119)*($AP$20:$AP$119&gt;=R$8)*($AM$20:$AM$119=$B$12),0),2),"")</f>
        <v/>
      </c>
      <c r="S12" s="247" t="str">
        <f t="array" ref="S12">IFERROR(INDEX($AM$20:$AP$119,MATCH(1,(S$8&gt;=$AO$20:$AO$119)*($AP$20:$AP$119&gt;=S$8)*($AM$20:$AM$119=$B$12),0),2),"")</f>
        <v/>
      </c>
      <c r="T12" s="247" t="str">
        <f t="array" ref="T12">IFERROR(INDEX($AM$20:$AP$119,MATCH(1,(T$8&gt;=$AO$20:$AO$119)*($AP$20:$AP$119&gt;=T$8)*($AM$20:$AM$119=$B$12),0),2),"")</f>
        <v/>
      </c>
      <c r="U12" s="247" t="str">
        <f t="array" ref="U12">IFERROR(INDEX($AM$20:$AP$119,MATCH(1,(U$8&gt;=$AO$20:$AO$119)*($AP$20:$AP$119&gt;=U$8)*($AM$20:$AM$119=$B$12),0),2),"")</f>
        <v/>
      </c>
      <c r="V12" s="247" t="str">
        <f t="array" ref="V12">IFERROR(INDEX($AM$20:$AP$119,MATCH(1,(V$8&gt;=$AO$20:$AO$119)*($AP$20:$AP$119&gt;=V$8)*($AM$20:$AM$119=$B$12),0),2),"")</f>
        <v/>
      </c>
      <c r="W12" s="247" t="str">
        <f t="array" ref="W12">IFERROR(INDEX($AM$20:$AP$119,MATCH(1,(W$8&gt;=$AO$20:$AO$119)*($AP$20:$AP$119&gt;=W$8)*($AM$20:$AM$119=$B$12),0),2),"")</f>
        <v/>
      </c>
      <c r="X12" s="247" t="str">
        <f t="array" ref="X12">IFERROR(INDEX($AM$20:$AP$119,MATCH(1,(X$8&gt;=$AO$20:$AO$119)*($AP$20:$AP$119&gt;=X$8)*($AM$20:$AM$119=$B$12),0),2),"")</f>
        <v/>
      </c>
      <c r="Y12" s="247" t="str">
        <f t="array" ref="Y12">IFERROR(INDEX($AM$20:$AP$119,MATCH(1,(Y$8&gt;=$AO$20:$AO$119)*($AP$20:$AP$119&gt;=Y$8)*($AM$20:$AM$119=$B$12),0),2),"")</f>
        <v/>
      </c>
      <c r="Z12" s="247" t="str">
        <f t="array" ref="Z12">IFERROR(INDEX($AM$20:$AP$119,MATCH(1,(Z$8&gt;=$AO$20:$AO$119)*($AP$20:$AP$119&gt;=Z$8)*($AM$20:$AM$119=$B$12),0),2),"")</f>
        <v/>
      </c>
      <c r="AA12" s="247" t="str">
        <f t="array" ref="AA12">IFERROR(INDEX($AM$20:$AP$119,MATCH(1,(AA$8&gt;=$AO$20:$AO$119)*($AP$20:$AP$119&gt;=AA$8)*($AM$20:$AM$119=$B$12),0),2),"")</f>
        <v/>
      </c>
      <c r="AB12" s="247" t="str">
        <f t="array" ref="AB12">IFERROR(INDEX($AM$20:$AP$119,MATCH(1,(AB$8&gt;=$AO$20:$AO$119)*($AP$20:$AP$119&gt;=AB$8)*($AM$20:$AM$119=$B$12),0),2),"")</f>
        <v/>
      </c>
      <c r="AC12" s="247" t="str">
        <f t="array" ref="AC12">IFERROR(INDEX($AM$20:$AP$119,MATCH(1,(AC$8&gt;=$AO$20:$AO$119)*($AP$20:$AP$119&gt;=AC$8)*($AM$20:$AM$119=$B$12),0),2),"")</f>
        <v/>
      </c>
      <c r="AD12" s="247" t="str">
        <f t="array" ref="AD12">IFERROR(INDEX($AM$20:$AP$119,MATCH(1,(AD$8&gt;=$AO$20:$AO$119)*($AP$20:$AP$119&gt;=AD$8)*($AM$20:$AM$119=$B$12),0),2),"")</f>
        <v/>
      </c>
      <c r="AE12" s="247" t="str">
        <f t="array" ref="AE12">IFERROR(INDEX($AM$20:$AP$119,MATCH(1,(AE$8&gt;=$AO$20:$AO$119)*($AP$20:$AP$119&gt;=AE$8)*($AM$20:$AM$119=$B$12),0),2),"")</f>
        <v/>
      </c>
      <c r="AF12" s="247" t="str">
        <f t="array" ref="AF12">IFERROR(INDEX($AM$20:$AP$119,MATCH(1,(AF$8&gt;=$AO$20:$AO$119)*($AP$20:$AP$119&gt;=AF$8)*($AM$20:$AM$119=$B$12),0),2),"")</f>
        <v/>
      </c>
      <c r="AG12" s="251" t="str">
        <f t="array" ref="AG12">IFERROR(INDEX($AM$20:$AP$119,MATCH(1,(AG$8&gt;=$AO$20:$AO$119)*($AP$20:$AP$119&gt;=AG$8)*($AM$20:$AM$119=$B$12),0),2),"")</f>
        <v/>
      </c>
      <c r="AH12" s="256" t="str">
        <f>B12</f>
        <v>amandine</v>
      </c>
      <c r="AI12" s="255">
        <f>COUNTIF(C12:AG12,$AI$10)</f>
        <v>0</v>
      </c>
      <c r="AJ12" s="13"/>
      <c r="AK12" s="13"/>
      <c r="AL12" s="685" t="s">
        <v>37</v>
      </c>
      <c r="AM12" s="13"/>
      <c r="AN12" s="94" t="s">
        <v>79</v>
      </c>
      <c r="AP12" s="13"/>
      <c r="AQ12" s="13"/>
      <c r="AR12" s="13"/>
      <c r="AS12" s="13"/>
      <c r="AT12" s="13"/>
      <c r="AU12" s="13"/>
      <c r="AV12" s="70"/>
      <c r="AW12" s="57"/>
      <c r="AX12" s="57"/>
      <c r="AY12" s="57"/>
      <c r="AZ12" s="54"/>
      <c r="BA12" s="54"/>
      <c r="BB12" s="54"/>
      <c r="BC12" s="55"/>
      <c r="BD12" s="56"/>
      <c r="BE12" s="56"/>
      <c r="BF12" s="56"/>
      <c r="BG12" s="56"/>
      <c r="BI12" s="290"/>
      <c r="BJ12" s="295"/>
      <c r="BK12" s="292"/>
      <c r="BL12" s="292"/>
      <c r="BM12" s="292"/>
      <c r="BN12" s="292"/>
      <c r="BO12" s="292"/>
      <c r="BP12" s="295"/>
      <c r="BQ12" s="295"/>
      <c r="BR12" s="295"/>
      <c r="BS12" s="292"/>
      <c r="BT12" s="292"/>
      <c r="BU12" s="295"/>
      <c r="BV12" s="292"/>
      <c r="BW12" s="292"/>
      <c r="BX12" s="310"/>
      <c r="BZ12" s="359">
        <f t="shared" si="0"/>
        <v>43983</v>
      </c>
      <c r="CA12" s="360">
        <f>CA11+1</f>
        <v>43983</v>
      </c>
      <c r="CB12" s="361" t="s">
        <v>732</v>
      </c>
      <c r="CC12" s="563"/>
      <c r="CD12" s="362" t="s">
        <v>729</v>
      </c>
      <c r="CE12" s="363">
        <f>CE8+39</f>
        <v>44707</v>
      </c>
    </row>
    <row r="13" spans="1:83" ht="16.5" customHeight="1" thickBot="1" x14ac:dyDescent="0.3">
      <c r="A13" s="13"/>
      <c r="B13" s="701">
        <f>COUNTA(C13:AG13)</f>
        <v>10</v>
      </c>
      <c r="C13" s="702" t="s">
        <v>37</v>
      </c>
      <c r="D13" s="687" t="s">
        <v>37</v>
      </c>
      <c r="E13" s="687" t="s">
        <v>37</v>
      </c>
      <c r="F13" s="687" t="s">
        <v>37</v>
      </c>
      <c r="G13" s="687" t="s">
        <v>37</v>
      </c>
      <c r="H13" s="687" t="s">
        <v>37</v>
      </c>
      <c r="I13" s="686"/>
      <c r="J13" s="686"/>
      <c r="K13" s="686"/>
      <c r="L13" s="686"/>
      <c r="M13" s="686"/>
      <c r="N13" s="686"/>
      <c r="O13" s="686"/>
      <c r="P13" s="686"/>
      <c r="Q13" s="686"/>
      <c r="R13" s="686"/>
      <c r="S13" s="687" t="s">
        <v>37</v>
      </c>
      <c r="T13" s="687" t="s">
        <v>37</v>
      </c>
      <c r="U13" s="687" t="s">
        <v>37</v>
      </c>
      <c r="V13" s="687" t="s">
        <v>37</v>
      </c>
      <c r="W13" s="686"/>
      <c r="X13" s="686"/>
      <c r="Y13" s="686"/>
      <c r="Z13" s="686"/>
      <c r="AA13" s="686"/>
      <c r="AB13" s="686"/>
      <c r="AC13" s="686"/>
      <c r="AD13" s="686"/>
      <c r="AE13" s="686"/>
      <c r="AF13" s="686"/>
      <c r="AG13" s="703"/>
      <c r="AH13" s="706">
        <f>COUNTIF(C12:AG12,$AH$11)</f>
        <v>0</v>
      </c>
      <c r="AI13" s="708">
        <f>COUNTIF(C12:AG12,$AI$11)</f>
        <v>0</v>
      </c>
      <c r="AJ13" s="13"/>
      <c r="AK13" s="13"/>
      <c r="AL13" s="13"/>
      <c r="AM13" s="13"/>
      <c r="AO13" s="13"/>
      <c r="AP13" s="13"/>
      <c r="AQ13" s="13"/>
      <c r="AR13" s="13"/>
      <c r="AS13" s="13"/>
      <c r="AT13" s="13"/>
      <c r="AU13" s="13"/>
      <c r="AV13" s="94" t="s">
        <v>81</v>
      </c>
      <c r="AW13" s="50">
        <v>0.33333333333333331</v>
      </c>
      <c r="AX13" s="50">
        <v>0.5</v>
      </c>
      <c r="AY13" s="51"/>
      <c r="AZ13" s="52">
        <f>IF(AX13-AW13=0,0,(AX13-AW13)-(AY13*TIMEVALUE("00:30")))</f>
        <v>0.16666666666666669</v>
      </c>
      <c r="BA13" s="53" t="s">
        <v>64</v>
      </c>
      <c r="BB13" s="54"/>
      <c r="BC13" s="55"/>
      <c r="BD13" s="56"/>
      <c r="BE13" s="56"/>
      <c r="BF13" s="56"/>
      <c r="BG13" s="56"/>
      <c r="BI13" s="290"/>
      <c r="BJ13" s="295"/>
      <c r="BK13" s="311"/>
      <c r="BL13" s="312"/>
      <c r="BM13" s="295"/>
      <c r="BN13" s="295"/>
      <c r="BO13" s="295"/>
      <c r="BP13" s="295"/>
      <c r="BQ13" s="295"/>
      <c r="BR13" s="295"/>
      <c r="BS13" s="295"/>
      <c r="BT13" s="295"/>
      <c r="BU13" s="295"/>
      <c r="BV13" s="295"/>
      <c r="BW13" s="295"/>
      <c r="BX13" s="313"/>
      <c r="BZ13" s="359">
        <f t="shared" si="0"/>
        <v>44026</v>
      </c>
      <c r="CA13" s="360">
        <f>DATE(BZ4,7,14)</f>
        <v>44026</v>
      </c>
      <c r="CB13" s="361" t="s">
        <v>733</v>
      </c>
      <c r="CC13" s="563"/>
      <c r="CD13" s="362" t="s">
        <v>731</v>
      </c>
      <c r="CE13" s="363">
        <f>CE8+49</f>
        <v>44717</v>
      </c>
    </row>
    <row r="14" spans="1:83" ht="14.25" customHeight="1" thickBot="1" x14ac:dyDescent="0.3">
      <c r="A14" s="13"/>
      <c r="B14" s="700" t="s">
        <v>4</v>
      </c>
      <c r="C14" s="698" t="str">
        <f t="array" ref="C14">IFERROR(INDEX($AM$20:$AP$119,MATCH(1,(C$8&gt;=$AO$20:$AO$119)*($AP$20:$AP$119&gt;=C$8)*($AM$20:$AM$119=$B$14),0),2),"")</f>
        <v>Aap</v>
      </c>
      <c r="D14" s="698" t="str">
        <f t="array" ref="D14">IFERROR(INDEX($AM$20:$AP$119,MATCH(1,(D$8&gt;=$AO$20:$AO$119)*($AP$20:$AP$119&gt;=D$8)*($AM$20:$AM$119=$B$14),0),2),"")</f>
        <v>Aap</v>
      </c>
      <c r="E14" s="698" t="str">
        <f t="array" ref="E14">IFERROR(INDEX($AM$20:$AP$119,MATCH(1,(E$8&gt;=$AO$20:$AO$119)*($AP$20:$AP$119&gt;=E$8)*($AM$20:$AM$119=$B$14),0),2),"")</f>
        <v>Aap</v>
      </c>
      <c r="F14" s="698" t="str">
        <f t="array" ref="F14">IFERROR(INDEX($AM$20:$AP$119,MATCH(1,(F$8&gt;=$AO$20:$AO$119)*($AP$20:$AP$119&gt;=F$8)*($AM$20:$AM$119=$B$14),0),2),"")</f>
        <v/>
      </c>
      <c r="G14" s="698" t="str">
        <f t="array" ref="G14">IFERROR(INDEX($AM$20:$AP$119,MATCH(1,(G$8&gt;=$AO$20:$AO$119)*($AP$20:$AP$119&gt;=G$8)*($AM$20:$AM$119=$B$14),0),2),"")</f>
        <v/>
      </c>
      <c r="H14" s="698" t="str">
        <f t="array" ref="H14">IFERROR(INDEX($AM$20:$AP$119,MATCH(1,(H$8&gt;=$AO$20:$AO$119)*($AP$20:$AP$119&gt;=H$8)*($AM$20:$AM$119=$B$14),0),2),"")</f>
        <v/>
      </c>
      <c r="I14" s="698" t="str">
        <f t="array" ref="I14">IFERROR(INDEX($AM$20:$AP$119,MATCH(1,(I$8&gt;=$AO$20:$AO$119)*($AP$20:$AP$119&gt;=I$8)*($AM$20:$AM$119=$B$14),0),2),"")</f>
        <v/>
      </c>
      <c r="J14" s="698" t="str">
        <f t="array" ref="J14">IFERROR(INDEX($AM$20:$AP$119,MATCH(1,(J$8&gt;=$AO$20:$AO$119)*($AP$20:$AP$119&gt;=J$8)*($AM$20:$AM$119=$B$14),0),2),"")</f>
        <v/>
      </c>
      <c r="K14" s="698" t="str">
        <f t="array" ref="K14">IFERROR(INDEX($AM$20:$AP$119,MATCH(1,(K$8&gt;=$AO$20:$AO$119)*($AP$20:$AP$119&gt;=K$8)*($AM$20:$AM$119=$B$14),0),2),"")</f>
        <v/>
      </c>
      <c r="L14" s="698" t="str">
        <f t="array" ref="L14">IFERROR(INDEX($AM$20:$AP$119,MATCH(1,(L$8&gt;=$AO$20:$AO$119)*($AP$20:$AP$119&gt;=L$8)*($AM$20:$AM$119=$B$14),0),2),"")</f>
        <v/>
      </c>
      <c r="M14" s="698" t="str">
        <f t="array" ref="M14">IFERROR(INDEX($AM$20:$AP$119,MATCH(1,(M$8&gt;=$AO$20:$AO$119)*($AP$20:$AP$119&gt;=M$8)*($AM$20:$AM$119=$B$14),0),2),"")</f>
        <v/>
      </c>
      <c r="N14" s="698" t="str">
        <f t="array" ref="N14">IFERROR(INDEX($AM$20:$AP$119,MATCH(1,(N$8&gt;=$AO$20:$AO$119)*($AP$20:$AP$119&gt;=N$8)*($AM$20:$AM$119=$B$14),0),2),"")</f>
        <v/>
      </c>
      <c r="O14" s="698" t="str">
        <f t="array" ref="O14">IFERROR(INDEX($AM$20:$AP$119,MATCH(1,(O$8&gt;=$AO$20:$AO$119)*($AP$20:$AP$119&gt;=O$8)*($AM$20:$AM$119=$B$14),0),2),"")</f>
        <v/>
      </c>
      <c r="P14" s="698" t="str">
        <f t="array" ref="P14">IFERROR(INDEX($AM$20:$AP$119,MATCH(1,(P$8&gt;=$AO$20:$AO$119)*($AP$20:$AP$119&gt;=P$8)*($AM$20:$AM$119=$B$14),0),2),"")</f>
        <v/>
      </c>
      <c r="Q14" s="698" t="str">
        <f t="array" ref="Q14">IFERROR(INDEX($AM$20:$AP$119,MATCH(1,(Q$8&gt;=$AO$20:$AO$119)*($AP$20:$AP$119&gt;=Q$8)*($AM$20:$AM$119=$B$14),0),2),"")</f>
        <v/>
      </c>
      <c r="R14" s="698" t="str">
        <f t="array" ref="R14">IFERROR(INDEX($AM$20:$AP$119,MATCH(1,(R$8&gt;=$AO$20:$AO$119)*($AP$20:$AP$119&gt;=R$8)*($AM$20:$AM$119=$B$14),0),2),"")</f>
        <v/>
      </c>
      <c r="S14" s="698" t="str">
        <f t="array" ref="S14">IFERROR(INDEX($AM$20:$AP$119,MATCH(1,(S$8&gt;=$AO$20:$AO$119)*($AP$20:$AP$119&gt;=S$8)*($AM$20:$AM$119=$B$14),0),2),"")</f>
        <v/>
      </c>
      <c r="T14" s="698" t="str">
        <f t="array" ref="T14">IFERROR(INDEX($AM$20:$AP$119,MATCH(1,(T$8&gt;=$AO$20:$AO$119)*($AP$20:$AP$119&gt;=T$8)*($AM$20:$AM$119=$B$14),0),2),"")</f>
        <v/>
      </c>
      <c r="U14" s="698" t="str">
        <f t="array" ref="U14">IFERROR(INDEX($AM$20:$AP$119,MATCH(1,(U$8&gt;=$AO$20:$AO$119)*($AP$20:$AP$119&gt;=U$8)*($AM$20:$AM$119=$B$14),0),2),"")</f>
        <v/>
      </c>
      <c r="V14" s="698" t="str">
        <f t="array" ref="V14">IFERROR(INDEX($AM$20:$AP$119,MATCH(1,(V$8&gt;=$AO$20:$AO$119)*($AP$20:$AP$119&gt;=V$8)*($AM$20:$AM$119=$B$14),0),2),"")</f>
        <v/>
      </c>
      <c r="W14" s="698" t="str">
        <f t="array" ref="W14">IFERROR(INDEX($AM$20:$AP$119,MATCH(1,(W$8&gt;=$AO$20:$AO$119)*($AP$20:$AP$119&gt;=W$8)*($AM$20:$AM$119=$B$14),0),2),"")</f>
        <v/>
      </c>
      <c r="X14" s="698" t="str">
        <f t="array" ref="X14">IFERROR(INDEX($AM$20:$AP$119,MATCH(1,(X$8&gt;=$AO$20:$AO$119)*($AP$20:$AP$119&gt;=X$8)*($AM$20:$AM$119=$B$14),0),2),"")</f>
        <v/>
      </c>
      <c r="Y14" s="698" t="str">
        <f t="array" ref="Y14">IFERROR(INDEX($AM$20:$AP$119,MATCH(1,(Y$8&gt;=$AO$20:$AO$119)*($AP$20:$AP$119&gt;=Y$8)*($AM$20:$AM$119=$B$14),0),2),"")</f>
        <v/>
      </c>
      <c r="Z14" s="698" t="str">
        <f t="array" ref="Z14">IFERROR(INDEX($AM$20:$AP$119,MATCH(1,(Z$8&gt;=$AO$20:$AO$119)*($AP$20:$AP$119&gt;=Z$8)*($AM$20:$AM$119=$B$14),0),2),"")</f>
        <v/>
      </c>
      <c r="AA14" s="698" t="str">
        <f t="array" ref="AA14">IFERROR(INDEX($AM$20:$AP$119,MATCH(1,(AA$8&gt;=$AO$20:$AO$119)*($AP$20:$AP$119&gt;=AA$8)*($AM$20:$AM$119=$B$14),0),2),"")</f>
        <v/>
      </c>
      <c r="AB14" s="698" t="str">
        <f t="array" ref="AB14">IFERROR(INDEX($AM$20:$AP$119,MATCH(1,(AB$8&gt;=$AO$20:$AO$119)*($AP$20:$AP$119&gt;=AB$8)*($AM$20:$AM$119=$B$14),0),2),"")</f>
        <v/>
      </c>
      <c r="AC14" s="698" t="str">
        <f t="array" ref="AC14">IFERROR(INDEX($AM$20:$AP$119,MATCH(1,(AC$8&gt;=$AO$20:$AO$119)*($AP$20:$AP$119&gt;=AC$8)*($AM$20:$AM$119=$B$14),0),2),"")</f>
        <v/>
      </c>
      <c r="AD14" s="698" t="str">
        <f t="array" ref="AD14">IFERROR(INDEX($AM$20:$AP$119,MATCH(1,(AD$8&gt;=$AO$20:$AO$119)*($AP$20:$AP$119&gt;=AD$8)*($AM$20:$AM$119=$B$14),0),2),"")</f>
        <v/>
      </c>
      <c r="AE14" s="698" t="str">
        <f t="array" ref="AE14">IFERROR(INDEX($AM$20:$AP$119,MATCH(1,(AE$8&gt;=$AO$20:$AO$119)*($AP$20:$AP$119&gt;=AE$8)*($AM$20:$AM$119=$B$14),0),2),"")</f>
        <v/>
      </c>
      <c r="AF14" s="698" t="str">
        <f t="array" ref="AF14">IFERROR(INDEX($AM$20:$AP$119,MATCH(1,(AF$8&gt;=$AO$20:$AO$119)*($AP$20:$AP$119&gt;=AF$8)*($AM$20:$AM$119=$B$14),0),2),"")</f>
        <v/>
      </c>
      <c r="AG14" s="698" t="str">
        <f t="array" ref="AG14">IFERROR(INDEX($AM$20:$AP$119,MATCH(1,(AG$8&gt;=$AO$20:$AO$119)*($AP$20:$AP$119&gt;=AG$8)*($AM$20:$AM$119=$B$14),0),2),"")</f>
        <v/>
      </c>
      <c r="AH14" s="699" t="str">
        <f>B14</f>
        <v>daniel</v>
      </c>
      <c r="AI14" s="255">
        <f>COUNTIF(C14:AG14,$AI$10)</f>
        <v>0</v>
      </c>
      <c r="AJ14" s="13"/>
      <c r="AK14" s="13"/>
      <c r="AL14" s="42"/>
      <c r="AM14" s="45" t="s">
        <v>490</v>
      </c>
      <c r="AN14" s="13"/>
      <c r="AO14" s="13"/>
      <c r="AR14" s="13"/>
      <c r="AS14" s="45"/>
      <c r="AT14" s="13"/>
      <c r="AU14" s="13"/>
      <c r="AV14" s="70"/>
      <c r="AW14" s="57"/>
      <c r="AX14" s="57"/>
      <c r="AY14" s="57"/>
      <c r="AZ14" s="54"/>
      <c r="BA14" s="54"/>
      <c r="BB14" s="54"/>
      <c r="BC14" s="55"/>
      <c r="BD14" s="56"/>
      <c r="BE14" s="56"/>
      <c r="BF14" s="56"/>
      <c r="BG14" s="56"/>
      <c r="BI14" s="290"/>
      <c r="BJ14" s="295"/>
      <c r="BK14" s="314" t="s">
        <v>658</v>
      </c>
      <c r="BL14" s="315" t="s">
        <v>659</v>
      </c>
      <c r="BM14" s="316"/>
      <c r="BN14" s="316"/>
      <c r="BO14" s="316"/>
      <c r="BP14" s="316"/>
      <c r="BQ14" s="316"/>
      <c r="BR14" s="316"/>
      <c r="BS14" s="317" t="s">
        <v>7</v>
      </c>
      <c r="BT14" s="315" t="s">
        <v>370</v>
      </c>
      <c r="BU14" s="292"/>
      <c r="BV14" s="294"/>
      <c r="BW14" s="294"/>
      <c r="BX14" s="313"/>
      <c r="BZ14" s="359">
        <f t="shared" si="0"/>
        <v>44058</v>
      </c>
      <c r="CA14" s="360">
        <f>DATE(BZ4,8,15)</f>
        <v>44058</v>
      </c>
      <c r="CB14" s="361" t="s">
        <v>586</v>
      </c>
      <c r="CC14" s="563"/>
      <c r="CD14" s="362" t="s">
        <v>732</v>
      </c>
      <c r="CE14" s="363">
        <f>CE8+50</f>
        <v>44718</v>
      </c>
    </row>
    <row r="15" spans="1:83" ht="16.5" customHeight="1" thickBot="1" x14ac:dyDescent="0.3">
      <c r="A15" s="13"/>
      <c r="B15" s="43">
        <f>COUNTA(C15:AG15)</f>
        <v>0</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706">
        <f>COUNTIF(C14:AG14,$AH$11)</f>
        <v>0</v>
      </c>
      <c r="AI15" s="708">
        <f>COUNTIF(C14:AG14,$AI$11)</f>
        <v>0</v>
      </c>
      <c r="AJ15" s="13"/>
      <c r="AK15" s="13"/>
      <c r="AL15" s="13"/>
      <c r="AN15" s="13"/>
      <c r="AO15" s="13"/>
      <c r="AP15" s="13"/>
      <c r="AQ15" s="1507" t="s">
        <v>491</v>
      </c>
      <c r="AR15" s="13"/>
      <c r="AS15" s="13"/>
      <c r="AT15" s="13"/>
      <c r="AU15" s="13"/>
      <c r="AV15" s="94" t="s">
        <v>82</v>
      </c>
      <c r="AW15" s="50">
        <v>0.29166666666666669</v>
      </c>
      <c r="AX15" s="50">
        <v>0.5625</v>
      </c>
      <c r="AY15" s="51">
        <v>1</v>
      </c>
      <c r="AZ15" s="52">
        <f>IF(AX15-AW15=0,0,(AX15-AW15)-(AY15*TIMEVALUE("00:30")))</f>
        <v>0.24999999999999997</v>
      </c>
      <c r="BA15" s="53" t="s">
        <v>122</v>
      </c>
      <c r="BB15" s="54"/>
      <c r="BC15" s="55"/>
      <c r="BD15" s="56"/>
      <c r="BE15" s="56"/>
      <c r="BF15" s="56"/>
      <c r="BG15" s="56"/>
      <c r="BI15" s="290"/>
      <c r="BJ15" s="295"/>
      <c r="BK15" s="314" t="s">
        <v>660</v>
      </c>
      <c r="BL15" s="59" t="s">
        <v>661</v>
      </c>
      <c r="BM15" s="294"/>
      <c r="BN15" s="294"/>
      <c r="BO15" s="294"/>
      <c r="BP15" s="292"/>
      <c r="BQ15" s="292"/>
      <c r="BR15" s="292"/>
      <c r="BS15" s="318" t="s">
        <v>8</v>
      </c>
      <c r="BT15" s="315" t="s">
        <v>367</v>
      </c>
      <c r="BU15" s="292"/>
      <c r="BV15" s="294"/>
      <c r="BW15" s="294"/>
      <c r="BX15" s="313"/>
      <c r="BZ15" s="359">
        <f t="shared" si="0"/>
        <v>44136</v>
      </c>
      <c r="CA15" s="360">
        <f>DATE(BZ4,11,1)</f>
        <v>44136</v>
      </c>
      <c r="CB15" s="361" t="s">
        <v>735</v>
      </c>
      <c r="CC15" s="563"/>
      <c r="CD15" s="362" t="s">
        <v>733</v>
      </c>
      <c r="CE15" s="363">
        <f>DATE(CD4,7,14)</f>
        <v>44756</v>
      </c>
    </row>
    <row r="16" spans="1:83" ht="15.75" customHeight="1" x14ac:dyDescent="0.25">
      <c r="A16" s="13"/>
      <c r="B16" s="696" t="s">
        <v>855</v>
      </c>
      <c r="C16" s="249" t="str">
        <f t="array" ref="C16">IFERROR(INDEX($AM$20:$AP$119,MATCH(1,(C$8&gt;=$AO$20:$AO$119)*($AP$20:$AP$119&gt;=C$8)*($AM$20:$AM$119=$B$16),0),2),"")</f>
        <v/>
      </c>
      <c r="D16" s="249" t="str">
        <f t="array" ref="D16">IFERROR(INDEX($AM$20:$AP$119,MATCH(1,(D$8&gt;=$AO$20:$AO$119)*($AP$20:$AP$119&gt;=D$8)*($AM$20:$AM$119=$B$16),0),2),"")</f>
        <v/>
      </c>
      <c r="E16" s="249" t="str">
        <f t="array" ref="E16">IFERROR(INDEX($AM$20:$AP$119,MATCH(1,(E$8&gt;=$AO$20:$AO$119)*($AP$20:$AP$119&gt;=E$8)*($AM$20:$AM$119=$B$16),0),2),"")</f>
        <v/>
      </c>
      <c r="F16" s="249" t="str">
        <f t="array" ref="F16">IFERROR(INDEX($AM$20:$AP$119,MATCH(1,(F$8&gt;=$AO$20:$AO$119)*($AP$20:$AP$119&gt;=F$8)*($AM$20:$AM$119=$B$16),0),2),"")</f>
        <v/>
      </c>
      <c r="G16" s="249" t="str">
        <f t="array" ref="G16">IFERROR(INDEX($AM$20:$AP$119,MATCH(1,(G$8&gt;=$AO$20:$AO$119)*($AP$20:$AP$119&gt;=G$8)*($AM$20:$AM$119=$B$16),0),2),"")</f>
        <v/>
      </c>
      <c r="H16" s="249" t="str">
        <f t="array" ref="H16">IFERROR(INDEX($AM$20:$AP$119,MATCH(1,(H$8&gt;=$AO$20:$AO$119)*($AP$20:$AP$119&gt;=H$8)*($AM$20:$AM$119=$B$16),0),2),"")</f>
        <v/>
      </c>
      <c r="I16" s="249" t="str">
        <f t="array" ref="I16">IFERROR(INDEX($AM$20:$AP$119,MATCH(1,(I$8&gt;=$AO$20:$AO$119)*($AP$20:$AP$119&gt;=I$8)*($AM$20:$AM$119=$B$16),0),2),"")</f>
        <v/>
      </c>
      <c r="J16" s="249" t="str">
        <f t="array" ref="J16">IFERROR(INDEX($AM$20:$AP$119,MATCH(1,(J$8&gt;=$AO$20:$AO$119)*($AP$20:$AP$119&gt;=J$8)*($AM$20:$AM$119=$B$16),0),2),"")</f>
        <v/>
      </c>
      <c r="K16" s="249" t="str">
        <f t="array" ref="K16">IFERROR(INDEX($AM$20:$AP$119,MATCH(1,(K$8&gt;=$AO$20:$AO$119)*($AP$20:$AP$119&gt;=K$8)*($AM$20:$AM$119=$B$16),0),2),"")</f>
        <v/>
      </c>
      <c r="L16" s="249" t="str">
        <f t="array" ref="L16">IFERROR(INDEX($AM$20:$AP$119,MATCH(1,(L$8&gt;=$AO$20:$AO$119)*($AP$20:$AP$119&gt;=L$8)*($AM$20:$AM$119=$B$16),0),2),"")</f>
        <v/>
      </c>
      <c r="M16" s="249" t="str">
        <f t="array" ref="M16">IFERROR(INDEX($AM$20:$AP$119,MATCH(1,(M$8&gt;=$AO$20:$AO$119)*($AP$20:$AP$119&gt;=M$8)*($AM$20:$AM$119=$B$16),0),2),"")</f>
        <v/>
      </c>
      <c r="N16" s="249" t="str">
        <f t="array" ref="N16">IFERROR(INDEX($AM$20:$AP$119,MATCH(1,(N$8&gt;=$AO$20:$AO$119)*($AP$20:$AP$119&gt;=N$8)*($AM$20:$AM$119=$B$16),0),2),"")</f>
        <v/>
      </c>
      <c r="O16" s="249" t="str">
        <f t="array" ref="O16">IFERROR(INDEX($AM$20:$AP$119,MATCH(1,(O$8&gt;=$AO$20:$AO$119)*($AP$20:$AP$119&gt;=O$8)*($AM$20:$AM$119=$B$16),0),2),"")</f>
        <v/>
      </c>
      <c r="P16" s="249" t="str">
        <f t="array" ref="P16">IFERROR(INDEX($AM$20:$AP$119,MATCH(1,(P$8&gt;=$AO$20:$AO$119)*($AP$20:$AP$119&gt;=P$8)*($AM$20:$AM$119=$B$16),0),2),"")</f>
        <v/>
      </c>
      <c r="Q16" s="249" t="str">
        <f t="array" ref="Q16">IFERROR(INDEX($AM$20:$AP$119,MATCH(1,(Q$8&gt;=$AO$20:$AO$119)*($AP$20:$AP$119&gt;=Q$8)*($AM$20:$AM$119=$B$16),0),2),"")</f>
        <v/>
      </c>
      <c r="R16" s="249" t="str">
        <f t="array" ref="R16">IFERROR(INDEX($AM$20:$AP$119,MATCH(1,(R$8&gt;=$AO$20:$AO$119)*($AP$20:$AP$119&gt;=R$8)*($AM$20:$AM$119=$B$16),0),2),"")</f>
        <v/>
      </c>
      <c r="S16" s="249" t="str">
        <f t="array" ref="S16">IFERROR(INDEX($AM$20:$AP$119,MATCH(1,(S$8&gt;=$AO$20:$AO$119)*($AP$20:$AP$119&gt;=S$8)*($AM$20:$AM$119=$B$16),0),2),"")</f>
        <v/>
      </c>
      <c r="T16" s="249" t="str">
        <f t="array" ref="T16">IFERROR(INDEX($AM$20:$AP$119,MATCH(1,(T$8&gt;=$AO$20:$AO$119)*($AP$20:$AP$119&gt;=T$8)*($AM$20:$AM$119=$B$16),0),2),"")</f>
        <v/>
      </c>
      <c r="U16" s="249" t="str">
        <f t="array" ref="U16">IFERROR(INDEX($AM$20:$AP$119,MATCH(1,(U$8&gt;=$AO$20:$AO$119)*($AP$20:$AP$119&gt;=U$8)*($AM$20:$AM$119=$B$16),0),2),"")</f>
        <v/>
      </c>
      <c r="V16" s="249" t="str">
        <f t="array" ref="V16">IFERROR(INDEX($AM$20:$AP$119,MATCH(1,(V$8&gt;=$AO$20:$AO$119)*($AP$20:$AP$119&gt;=V$8)*($AM$20:$AM$119=$B$16),0),2),"")</f>
        <v/>
      </c>
      <c r="W16" s="249" t="str">
        <f t="array" ref="W16">IFERROR(INDEX($AM$20:$AP$119,MATCH(1,(W$8&gt;=$AO$20:$AO$119)*($AP$20:$AP$119&gt;=W$8)*($AM$20:$AM$119=$B$16),0),2),"")</f>
        <v/>
      </c>
      <c r="X16" s="249" t="str">
        <f t="array" ref="X16">IFERROR(INDEX($AM$20:$AP$119,MATCH(1,(X$8&gt;=$AO$20:$AO$119)*($AP$20:$AP$119&gt;=X$8)*($AM$20:$AM$119=$B$16),0),2),"")</f>
        <v/>
      </c>
      <c r="Y16" s="249" t="str">
        <f t="array" ref="Y16">IFERROR(INDEX($AM$20:$AP$119,MATCH(1,(Y$8&gt;=$AO$20:$AO$119)*($AP$20:$AP$119&gt;=Y$8)*($AM$20:$AM$119=$B$16),0),2),"")</f>
        <v/>
      </c>
      <c r="Z16" s="249" t="str">
        <f t="array" ref="Z16">IFERROR(INDEX($AM$20:$AP$119,MATCH(1,(Z$8&gt;=$AO$20:$AO$119)*($AP$20:$AP$119&gt;=Z$8)*($AM$20:$AM$119=$B$16),0),2),"")</f>
        <v/>
      </c>
      <c r="AA16" s="249" t="str">
        <f t="array" ref="AA16">IFERROR(INDEX($AM$20:$AP$119,MATCH(1,(AA$8&gt;=$AO$20:$AO$119)*($AP$20:$AP$119&gt;=AA$8)*($AM$20:$AM$119=$B$16),0),2),"")</f>
        <v/>
      </c>
      <c r="AB16" s="249" t="str">
        <f t="array" ref="AB16">IFERROR(INDEX($AM$20:$AP$119,MATCH(1,(AB$8&gt;=$AO$20:$AO$119)*($AP$20:$AP$119&gt;=AB$8)*($AM$20:$AM$119=$B$16),0),2),"")</f>
        <v/>
      </c>
      <c r="AC16" s="249" t="str">
        <f t="array" ref="AC16">IFERROR(INDEX($AM$20:$AP$119,MATCH(1,(AC$8&gt;=$AO$20:$AO$119)*($AP$20:$AP$119&gt;=AC$8)*($AM$20:$AM$119=$B$16),0),2),"")</f>
        <v/>
      </c>
      <c r="AD16" s="249" t="str">
        <f t="array" ref="AD16">IFERROR(INDEX($AM$20:$AP$119,MATCH(1,(AD$8&gt;=$AO$20:$AO$119)*($AP$20:$AP$119&gt;=AD$8)*($AM$20:$AM$119=$B$16),0),2),"")</f>
        <v/>
      </c>
      <c r="AE16" s="249" t="str">
        <f t="array" ref="AE16">IFERROR(INDEX($AM$20:$AP$119,MATCH(1,(AE$8&gt;=$AO$20:$AO$119)*($AP$20:$AP$119&gt;=AE$8)*($AM$20:$AM$119=$B$16),0),2),"")</f>
        <v/>
      </c>
      <c r="AF16" s="249" t="str">
        <f t="array" ref="AF16">IFERROR(INDEX($AM$20:$AP$119,MATCH(1,(AF$8&gt;=$AO$20:$AO$119)*($AP$20:$AP$119&gt;=AF$8)*($AM$20:$AM$119=$B$16),0),2),"")</f>
        <v/>
      </c>
      <c r="AG16" s="249" t="str">
        <f t="array" ref="AG16">IFERROR(INDEX($AM$20:$AP$119,MATCH(1,(AG$8&gt;=$AO$20:$AO$119)*($AP$20:$AP$119&gt;=AG$8)*($AM$20:$AM$119=$B$16),0),2),"")</f>
        <v/>
      </c>
      <c r="AH16" s="256" t="str">
        <f>B16</f>
        <v>didier</v>
      </c>
      <c r="AI16" s="255">
        <f>COUNTIF(C16:AG16,$AI$10)</f>
        <v>0</v>
      </c>
      <c r="AJ16" s="13"/>
      <c r="AK16" s="594" t="s">
        <v>862</v>
      </c>
      <c r="AL16" s="13"/>
      <c r="AM16" s="13"/>
      <c r="AN16" s="13"/>
      <c r="AO16" s="13"/>
      <c r="AP16" s="13"/>
      <c r="AQ16" s="1507"/>
      <c r="AR16" s="13"/>
      <c r="AS16" s="13"/>
      <c r="AT16" s="13"/>
      <c r="AU16" s="13"/>
      <c r="AV16"/>
      <c r="AW16"/>
      <c r="AX16"/>
      <c r="AY16"/>
      <c r="AZ16"/>
      <c r="BA16"/>
      <c r="BB16"/>
      <c r="BC16"/>
      <c r="BD16"/>
      <c r="BE16"/>
      <c r="BF16"/>
      <c r="BG16"/>
      <c r="BI16" s="290"/>
      <c r="BJ16" s="295"/>
      <c r="BK16" s="314" t="s">
        <v>371</v>
      </c>
      <c r="BL16" s="59" t="s">
        <v>372</v>
      </c>
      <c r="BM16" s="294"/>
      <c r="BN16" s="294"/>
      <c r="BO16" s="294"/>
      <c r="BP16" s="292"/>
      <c r="BQ16" s="292"/>
      <c r="BR16" s="292"/>
      <c r="BS16" s="319" t="s">
        <v>364</v>
      </c>
      <c r="BT16" s="315" t="s">
        <v>365</v>
      </c>
      <c r="BU16" s="292"/>
      <c r="BV16" s="294"/>
      <c r="BW16" s="294"/>
      <c r="BX16" s="313"/>
      <c r="BZ16" s="359">
        <f t="shared" si="0"/>
        <v>44146</v>
      </c>
      <c r="CA16" s="360">
        <f>DATE(BZ4,11,11)</f>
        <v>44146</v>
      </c>
      <c r="CB16" s="361" t="s">
        <v>587</v>
      </c>
      <c r="CC16" s="563"/>
      <c r="CD16" s="362" t="s">
        <v>586</v>
      </c>
      <c r="CE16" s="363">
        <f>DATE(CD4,8,15)</f>
        <v>44788</v>
      </c>
    </row>
    <row r="17" spans="1:83" ht="16.5" customHeight="1" thickBot="1" x14ac:dyDescent="0.3">
      <c r="A17" s="13"/>
      <c r="B17" s="43">
        <f>COUNTA(C17:AG17)</f>
        <v>0</v>
      </c>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706">
        <f>COUNTIF(C16:AG16,$AH$11)</f>
        <v>0</v>
      </c>
      <c r="AI17" s="708">
        <f>COUNTIF(C16:AG16,$AI$11)</f>
        <v>0</v>
      </c>
      <c r="AJ17" s="13"/>
      <c r="AK17" s="1515" t="s">
        <v>859</v>
      </c>
      <c r="AL17" s="13"/>
      <c r="AM17" s="623" t="s">
        <v>828</v>
      </c>
      <c r="AN17" s="13"/>
      <c r="AO17" s="13"/>
      <c r="AP17" s="13"/>
      <c r="AQ17" s="13"/>
      <c r="AR17" s="13"/>
      <c r="AS17" s="13"/>
      <c r="AT17" s="13"/>
      <c r="AU17" s="13"/>
      <c r="AV17" s="94" t="s">
        <v>83</v>
      </c>
      <c r="AW17" s="50">
        <v>0.375</v>
      </c>
      <c r="AX17" s="50">
        <v>0.54166666666666663</v>
      </c>
      <c r="AY17" s="51">
        <v>0</v>
      </c>
      <c r="AZ17" s="52">
        <f>IF(AX17-AW17=0,0,(AX17-AW17)-(AY17*TIMEVALUE("00:30")))</f>
        <v>0.16666666666666663</v>
      </c>
      <c r="BA17" s="53" t="s">
        <v>65</v>
      </c>
      <c r="BB17" s="54"/>
      <c r="BC17" s="55"/>
      <c r="BD17" s="56"/>
      <c r="BE17" s="56"/>
      <c r="BF17" s="56"/>
      <c r="BG17" s="56"/>
      <c r="BI17" s="290"/>
      <c r="BJ17" s="295"/>
      <c r="BK17" s="320" t="s">
        <v>354</v>
      </c>
      <c r="BL17" s="59" t="s">
        <v>355</v>
      </c>
      <c r="BM17" s="294"/>
      <c r="BN17" s="294"/>
      <c r="BO17" s="294"/>
      <c r="BP17" s="292"/>
      <c r="BQ17" s="292"/>
      <c r="BR17" s="292"/>
      <c r="BS17" s="321" t="s">
        <v>373</v>
      </c>
      <c r="BT17" s="59" t="s">
        <v>374</v>
      </c>
      <c r="BU17" s="292"/>
      <c r="BV17" s="294"/>
      <c r="BW17" s="294"/>
      <c r="BX17" s="313"/>
      <c r="BZ17" s="359">
        <f t="shared" si="0"/>
        <v>44190</v>
      </c>
      <c r="CA17" s="360">
        <f>DATE(BZ4,12,25)</f>
        <v>44190</v>
      </c>
      <c r="CB17" s="361" t="s">
        <v>723</v>
      </c>
      <c r="CC17" s="563"/>
      <c r="CD17" s="362" t="s">
        <v>735</v>
      </c>
      <c r="CE17" s="363">
        <f>DATE(CD4,11,1)</f>
        <v>44866</v>
      </c>
    </row>
    <row r="18" spans="1:83" ht="14.25" customHeight="1" x14ac:dyDescent="0.25">
      <c r="A18" s="13"/>
      <c r="B18" s="697" t="s">
        <v>499</v>
      </c>
      <c r="C18" s="249" t="str">
        <f t="array" ref="C18">IFERROR(INDEX($AM$20:$AP$119,MATCH(1,(C$8&gt;=$AO$20:$AO$119)*($AP$20:$AP$119&gt;=C$8)*($AM$20:$AM$119=$B$18),0),2),"")</f>
        <v/>
      </c>
      <c r="D18" s="249" t="str">
        <f t="array" ref="D18">IFERROR(INDEX($AM$20:$AP$119,MATCH(1,(D$8&gt;=$AO$20:$AO$119)*($AP$20:$AP$119&gt;=D$8)*($AM$20:$AM$119=$B$18),0),2),"")</f>
        <v/>
      </c>
      <c r="E18" s="249" t="str">
        <f t="array" ref="E18">IFERROR(INDEX($AM$20:$AP$119,MATCH(1,(E$8&gt;=$AO$20:$AO$119)*($AP$20:$AP$119&gt;=E$8)*($AM$20:$AM$119=$B$18),0),2),"")</f>
        <v/>
      </c>
      <c r="F18" s="249" t="str">
        <f t="array" ref="F18">IFERROR(INDEX($AM$20:$AP$119,MATCH(1,(F$8&gt;=$AO$20:$AO$119)*($AP$20:$AP$119&gt;=F$8)*($AM$20:$AM$119=$B$18),0),2),"")</f>
        <v/>
      </c>
      <c r="G18" s="249" t="str">
        <f t="array" ref="G18">IFERROR(INDEX($AM$20:$AP$119,MATCH(1,(G$8&gt;=$AO$20:$AO$119)*($AP$20:$AP$119&gt;=G$8)*($AM$20:$AM$119=$B$18),0),2),"")</f>
        <v/>
      </c>
      <c r="H18" s="249" t="str">
        <f t="array" ref="H18">IFERROR(INDEX($AM$20:$AP$119,MATCH(1,(H$8&gt;=$AO$20:$AO$119)*($AP$20:$AP$119&gt;=H$8)*($AM$20:$AM$119=$B$18),0),2),"")</f>
        <v/>
      </c>
      <c r="I18" s="249" t="str">
        <f t="array" ref="I18">IFERROR(INDEX($AM$20:$AP$119,MATCH(1,(I$8&gt;=$AO$20:$AO$119)*($AP$20:$AP$119&gt;=I$8)*($AM$20:$AM$119=$B$18),0),2),"")</f>
        <v/>
      </c>
      <c r="J18" s="249" t="str">
        <f t="array" ref="J18">IFERROR(INDEX($AM$20:$AP$119,MATCH(1,(J$8&gt;=$AO$20:$AO$119)*($AP$20:$AP$119&gt;=J$8)*($AM$20:$AM$119=$B$18),0),2),"")</f>
        <v/>
      </c>
      <c r="K18" s="249" t="str">
        <f t="array" ref="K18">IFERROR(INDEX($AM$20:$AP$119,MATCH(1,(K$8&gt;=$AO$20:$AO$119)*($AP$20:$AP$119&gt;=K$8)*($AM$20:$AM$119=$B$18),0),2),"")</f>
        <v/>
      </c>
      <c r="L18" s="249" t="str">
        <f t="array" ref="L18">IFERROR(INDEX($AM$20:$AP$119,MATCH(1,(L$8&gt;=$AO$20:$AO$119)*($AP$20:$AP$119&gt;=L$8)*($AM$20:$AM$119=$B$18),0),2),"")</f>
        <v/>
      </c>
      <c r="M18" s="249" t="str">
        <f t="array" ref="M18">IFERROR(INDEX($AM$20:$AP$119,MATCH(1,(M$8&gt;=$AO$20:$AO$119)*($AP$20:$AP$119&gt;=M$8)*($AM$20:$AM$119=$B$18),0),2),"")</f>
        <v/>
      </c>
      <c r="N18" s="249" t="str">
        <f t="array" ref="N18">IFERROR(INDEX($AM$20:$AP$119,MATCH(1,(N$8&gt;=$AO$20:$AO$119)*($AP$20:$AP$119&gt;=N$8)*($AM$20:$AM$119=$B$18),0),2),"")</f>
        <v/>
      </c>
      <c r="O18" s="249" t="str">
        <f t="array" ref="O18">IFERROR(INDEX($AM$20:$AP$119,MATCH(1,(O$8&gt;=$AO$20:$AO$119)*($AP$20:$AP$119&gt;=O$8)*($AM$20:$AM$119=$B$18),0),2),"")</f>
        <v/>
      </c>
      <c r="P18" s="249" t="str">
        <f t="array" ref="P18">IFERROR(INDEX($AM$20:$AP$119,MATCH(1,(P$8&gt;=$AO$20:$AO$119)*($AP$20:$AP$119&gt;=P$8)*($AM$20:$AM$119=$B$18),0),2),"")</f>
        <v/>
      </c>
      <c r="Q18" s="249" t="str">
        <f t="array" ref="Q18">IFERROR(INDEX($AM$20:$AP$119,MATCH(1,(Q$8&gt;=$AO$20:$AO$119)*($AP$20:$AP$119&gt;=Q$8)*($AM$20:$AM$119=$B$18),0),2),"")</f>
        <v/>
      </c>
      <c r="R18" s="249" t="str">
        <f t="array" ref="R18">IFERROR(INDEX($AM$20:$AP$119,MATCH(1,(R$8&gt;=$AO$20:$AO$119)*($AP$20:$AP$119&gt;=R$8)*($AM$20:$AM$119=$B$18),0),2),"")</f>
        <v/>
      </c>
      <c r="S18" s="249" t="str">
        <f t="array" ref="S18">IFERROR(INDEX($AM$20:$AP$119,MATCH(1,(S$8&gt;=$AO$20:$AO$119)*($AP$20:$AP$119&gt;=S$8)*($AM$20:$AM$119=$B$18),0),2),"")</f>
        <v/>
      </c>
      <c r="T18" s="249" t="str">
        <f t="array" ref="T18">IFERROR(INDEX($AM$20:$AP$119,MATCH(1,(T$8&gt;=$AO$20:$AO$119)*($AP$20:$AP$119&gt;=T$8)*($AM$20:$AM$119=$B$18),0),2),"")</f>
        <v/>
      </c>
      <c r="U18" s="249" t="str">
        <f t="array" ref="U18">IFERROR(INDEX($AM$20:$AP$119,MATCH(1,(U$8&gt;=$AO$20:$AO$119)*($AP$20:$AP$119&gt;=U$8)*($AM$20:$AM$119=$B$18),0),2),"")</f>
        <v/>
      </c>
      <c r="V18" s="249" t="str">
        <f t="array" ref="V18">IFERROR(INDEX($AM$20:$AP$119,MATCH(1,(V$8&gt;=$AO$20:$AO$119)*($AP$20:$AP$119&gt;=V$8)*($AM$20:$AM$119=$B$18),0),2),"")</f>
        <v/>
      </c>
      <c r="W18" s="249" t="str">
        <f t="array" ref="W18">IFERROR(INDEX($AM$20:$AP$119,MATCH(1,(W$8&gt;=$AO$20:$AO$119)*($AP$20:$AP$119&gt;=W$8)*($AM$20:$AM$119=$B$18),0),2),"")</f>
        <v/>
      </c>
      <c r="X18" s="249" t="str">
        <f t="array" ref="X18">IFERROR(INDEX($AM$20:$AP$119,MATCH(1,(X$8&gt;=$AO$20:$AO$119)*($AP$20:$AP$119&gt;=X$8)*($AM$20:$AM$119=$B$18),0),2),"")</f>
        <v/>
      </c>
      <c r="Y18" s="249" t="str">
        <f t="array" ref="Y18">IFERROR(INDEX($AM$20:$AP$119,MATCH(1,(Y$8&gt;=$AO$20:$AO$119)*($AP$20:$AP$119&gt;=Y$8)*($AM$20:$AM$119=$B$18),0),2),"")</f>
        <v/>
      </c>
      <c r="Z18" s="249" t="str">
        <f t="array" ref="Z18">IFERROR(INDEX($AM$20:$AP$119,MATCH(1,(Z$8&gt;=$AO$20:$AO$119)*($AP$20:$AP$119&gt;=Z$8)*($AM$20:$AM$119=$B$18),0),2),"")</f>
        <v/>
      </c>
      <c r="AA18" s="249" t="str">
        <f t="array" ref="AA18">IFERROR(INDEX($AM$20:$AP$119,MATCH(1,(AA$8&gt;=$AO$20:$AO$119)*($AP$20:$AP$119&gt;=AA$8)*($AM$20:$AM$119=$B$18),0),2),"")</f>
        <v/>
      </c>
      <c r="AB18" s="249" t="str">
        <f t="array" ref="AB18">IFERROR(INDEX($AM$20:$AP$119,MATCH(1,(AB$8&gt;=$AO$20:$AO$119)*($AP$20:$AP$119&gt;=AB$8)*($AM$20:$AM$119=$B$18),0),2),"")</f>
        <v/>
      </c>
      <c r="AC18" s="249" t="str">
        <f t="array" ref="AC18">IFERROR(INDEX($AM$20:$AP$119,MATCH(1,(AC$8&gt;=$AO$20:$AO$119)*($AP$20:$AP$119&gt;=AC$8)*($AM$20:$AM$119=$B$18),0),2),"")</f>
        <v/>
      </c>
      <c r="AD18" s="249" t="str">
        <f t="array" ref="AD18">IFERROR(INDEX($AM$20:$AP$119,MATCH(1,(AD$8&gt;=$AO$20:$AO$119)*($AP$20:$AP$119&gt;=AD$8)*($AM$20:$AM$119=$B$18),0),2),"")</f>
        <v/>
      </c>
      <c r="AE18" s="249" t="str">
        <f t="array" ref="AE18">IFERROR(INDEX($AM$20:$AP$119,MATCH(1,(AE$8&gt;=$AO$20:$AO$119)*($AP$20:$AP$119&gt;=AE$8)*($AM$20:$AM$119=$B$18),0),2),"")</f>
        <v/>
      </c>
      <c r="AF18" s="249" t="str">
        <f t="array" ref="AF18">IFERROR(INDEX($AM$20:$AP$119,MATCH(1,(AF$8&gt;=$AO$20:$AO$119)*($AP$20:$AP$119&gt;=AF$8)*($AM$20:$AM$119=$B$18),0),2),"")</f>
        <v/>
      </c>
      <c r="AG18" s="249" t="str">
        <f t="array" ref="AG18">IFERROR(INDEX($AM$20:$AP$119,MATCH(1,(AG$8&gt;=$AO$20:$AO$119)*($AP$20:$AP$119&gt;=AG$8)*($AM$20:$AM$119=$B$18),0),2),"")</f>
        <v/>
      </c>
      <c r="AH18" s="256" t="str">
        <f>B18</f>
        <v>emilie</v>
      </c>
      <c r="AI18" s="255">
        <f>COUNTIF(C18:AG18,$AI$10)</f>
        <v>0</v>
      </c>
      <c r="AJ18" s="13"/>
      <c r="AK18" s="1515"/>
      <c r="AL18" s="13"/>
      <c r="AM18" s="1473" t="s">
        <v>798</v>
      </c>
      <c r="AN18" s="1473"/>
      <c r="AO18" s="1473"/>
      <c r="AP18" s="1473"/>
      <c r="AQ18" s="1473"/>
      <c r="AR18" s="13"/>
      <c r="AS18" s="1472" t="s">
        <v>865</v>
      </c>
      <c r="AT18" s="1472"/>
      <c r="AU18" s="13"/>
      <c r="AV18" s="70"/>
      <c r="AW18" s="57"/>
      <c r="AX18" s="57"/>
      <c r="AY18" s="57"/>
      <c r="AZ18" s="54"/>
      <c r="BA18" s="54"/>
      <c r="BB18" s="54"/>
      <c r="BC18" s="55"/>
      <c r="BD18" s="56"/>
      <c r="BE18" s="56"/>
      <c r="BF18" s="56"/>
      <c r="BG18" s="56"/>
      <c r="BI18" s="290"/>
      <c r="BJ18" s="295"/>
      <c r="BK18" s="320" t="s">
        <v>360</v>
      </c>
      <c r="BL18" s="315" t="s">
        <v>361</v>
      </c>
      <c r="BM18" s="294"/>
      <c r="BN18" s="294"/>
      <c r="BO18" s="294"/>
      <c r="BP18" s="294"/>
      <c r="BQ18" s="294"/>
      <c r="BR18" s="294"/>
      <c r="BS18" s="321" t="s">
        <v>662</v>
      </c>
      <c r="BT18" s="315" t="s">
        <v>663</v>
      </c>
      <c r="BU18" s="292"/>
      <c r="BV18" s="294"/>
      <c r="BW18" s="294"/>
      <c r="BX18" s="313"/>
      <c r="BZ18" s="366">
        <f>BZ21</f>
        <v>44197</v>
      </c>
      <c r="CA18" s="367">
        <f>CA21</f>
        <v>44197</v>
      </c>
      <c r="CB18" s="368" t="s">
        <v>721</v>
      </c>
      <c r="CC18" s="563"/>
      <c r="CD18" s="362" t="s">
        <v>587</v>
      </c>
      <c r="CE18" s="363">
        <f>DATE(CD4,11,11)</f>
        <v>44876</v>
      </c>
    </row>
    <row r="19" spans="1:83" ht="16.5" customHeight="1" thickBot="1" x14ac:dyDescent="0.3">
      <c r="A19" s="13"/>
      <c r="B19" s="43">
        <f>COUNTA(C19:AG19)</f>
        <v>0</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706">
        <f>COUNTIF(C18:AG18,$AH$11)</f>
        <v>0</v>
      </c>
      <c r="AI19" s="708">
        <f>COUNTIF(C18:AG18,$AI$11)</f>
        <v>0</v>
      </c>
      <c r="AJ19" s="13"/>
      <c r="AK19" s="1516"/>
      <c r="AL19" s="13"/>
      <c r="AM19" t="s">
        <v>0</v>
      </c>
      <c r="AN19" s="245" t="s">
        <v>3</v>
      </c>
      <c r="AO19" s="245" t="s">
        <v>1</v>
      </c>
      <c r="AP19" s="245" t="s">
        <v>2</v>
      </c>
      <c r="AQ19" s="245" t="s">
        <v>54</v>
      </c>
      <c r="AR19" s="13"/>
      <c r="AS19" t="s">
        <v>10</v>
      </c>
      <c r="AT19" t="s">
        <v>11</v>
      </c>
      <c r="AU19" s="13"/>
      <c r="AV19" s="94" t="s">
        <v>84</v>
      </c>
      <c r="AW19" s="50">
        <v>0.33333333333333331</v>
      </c>
      <c r="AX19" s="50">
        <v>0.5</v>
      </c>
      <c r="AY19" s="51">
        <v>0</v>
      </c>
      <c r="AZ19" s="52">
        <f>IF(AX19-AW19=0,0,(AX19-AW19)-(AY19*TIMEVALUE("00:30")))</f>
        <v>0.16666666666666669</v>
      </c>
      <c r="BA19" s="53" t="s">
        <v>66</v>
      </c>
      <c r="BB19" s="54"/>
      <c r="BC19" s="55"/>
      <c r="BD19" s="56"/>
      <c r="BE19" s="56"/>
      <c r="BF19" s="56"/>
      <c r="BG19" s="56"/>
      <c r="BI19" s="290"/>
      <c r="BJ19" s="295"/>
      <c r="BK19" s="320" t="s">
        <v>112</v>
      </c>
      <c r="BL19" s="59" t="s">
        <v>353</v>
      </c>
      <c r="BM19" s="294"/>
      <c r="BN19" s="294"/>
      <c r="BO19" s="294"/>
      <c r="BP19" s="294"/>
      <c r="BQ19" s="294"/>
      <c r="BR19" s="294"/>
      <c r="BS19" s="322" t="s">
        <v>37</v>
      </c>
      <c r="BT19" s="292" t="s">
        <v>551</v>
      </c>
      <c r="BU19" s="292"/>
      <c r="BV19" s="294"/>
      <c r="BW19" s="294"/>
      <c r="BX19" s="313"/>
      <c r="BZ19" s="497"/>
      <c r="CA19" s="497"/>
      <c r="CB19" s="497"/>
      <c r="CC19" s="563"/>
      <c r="CD19" s="362" t="s">
        <v>723</v>
      </c>
      <c r="CE19" s="363">
        <f>DATE(CD4,12,25)</f>
        <v>44920</v>
      </c>
    </row>
    <row r="20" spans="1:83" ht="14.25" customHeight="1" thickBot="1" x14ac:dyDescent="0.3">
      <c r="A20" s="13"/>
      <c r="B20" s="696" t="s">
        <v>849</v>
      </c>
      <c r="C20" s="249" t="str">
        <f t="array" ref="C20">IFERROR(INDEX($AM$20:$AP$119,MATCH(1,(C$8&gt;=$AO$20:$AO$119)*($AP$20:$AP$119&gt;=C$8)*($AM$20:$AM$119=$B$20),0),2),"")</f>
        <v/>
      </c>
      <c r="D20" s="249" t="str">
        <f t="array" ref="D20">IFERROR(INDEX($AM$20:$AP$119,MATCH(1,(D$8&gt;=$AO$20:$AO$119)*($AP$20:$AP$119&gt;=D$8)*($AM$20:$AM$119=$B$20),0),2),"")</f>
        <v/>
      </c>
      <c r="E20" s="249" t="str">
        <f t="array" ref="E20">IFERROR(INDEX($AM$20:$AP$119,MATCH(1,(E$8&gt;=$AO$20:$AO$119)*($AP$20:$AP$119&gt;=E$8)*($AM$20:$AM$119=$B$20),0),2),"")</f>
        <v/>
      </c>
      <c r="F20" s="249" t="str">
        <f t="array" ref="F20">IFERROR(INDEX($AM$20:$AP$119,MATCH(1,(F$8&gt;=$AO$20:$AO$119)*($AP$20:$AP$119&gt;=F$8)*($AM$20:$AM$119=$B$20),0),2),"")</f>
        <v/>
      </c>
      <c r="G20" s="249" t="str">
        <f t="array" ref="G20">IFERROR(INDEX($AM$20:$AP$119,MATCH(1,(G$8&gt;=$AO$20:$AO$119)*($AP$20:$AP$119&gt;=G$8)*($AM$20:$AM$119=$B$20),0),2),"")</f>
        <v/>
      </c>
      <c r="H20" s="249" t="str">
        <f t="array" ref="H20">IFERROR(INDEX($AM$20:$AP$119,MATCH(1,(H$8&gt;=$AO$20:$AO$119)*($AP$20:$AP$119&gt;=H$8)*($AM$20:$AM$119=$B$20),0),2),"")</f>
        <v/>
      </c>
      <c r="I20" s="249" t="str">
        <f t="array" ref="I20">IFERROR(INDEX($AM$20:$AP$119,MATCH(1,(I$8&gt;=$AO$20:$AO$119)*($AP$20:$AP$119&gt;=I$8)*($AM$20:$AM$119=$B$20),0),2),"")</f>
        <v/>
      </c>
      <c r="J20" s="249" t="str">
        <f t="array" ref="J20">IFERROR(INDEX($AM$20:$AP$119,MATCH(1,(J$8&gt;=$AO$20:$AO$119)*($AP$20:$AP$119&gt;=J$8)*($AM$20:$AM$119=$B$20),0),2),"")</f>
        <v/>
      </c>
      <c r="K20" s="249" t="str">
        <f t="array" ref="K20">IFERROR(INDEX($AM$20:$AP$119,MATCH(1,(K$8&gt;=$AO$20:$AO$119)*($AP$20:$AP$119&gt;=K$8)*($AM$20:$AM$119=$B$20),0),2),"")</f>
        <v/>
      </c>
      <c r="L20" s="249" t="str">
        <f t="array" ref="L20">IFERROR(INDEX($AM$20:$AP$119,MATCH(1,(L$8&gt;=$AO$20:$AO$119)*($AP$20:$AP$119&gt;=L$8)*($AM$20:$AM$119=$B$20),0),2),"")</f>
        <v/>
      </c>
      <c r="M20" s="249" t="str">
        <f t="array" ref="M20">IFERROR(INDEX($AM$20:$AP$119,MATCH(1,(M$8&gt;=$AO$20:$AO$119)*($AP$20:$AP$119&gt;=M$8)*($AM$20:$AM$119=$B$20),0),2),"")</f>
        <v>Aap</v>
      </c>
      <c r="N20" s="249" t="str">
        <f t="array" ref="N20">IFERROR(INDEX($AM$20:$AP$119,MATCH(1,(N$8&gt;=$AO$20:$AO$119)*($AP$20:$AP$119&gt;=N$8)*($AM$20:$AM$119=$B$20),0),2),"")</f>
        <v>Aap</v>
      </c>
      <c r="O20" s="249" t="str">
        <f t="array" ref="O20">IFERROR(INDEX($AM$20:$AP$119,MATCH(1,(O$8&gt;=$AO$20:$AO$119)*($AP$20:$AP$119&gt;=O$8)*($AM$20:$AM$119=$B$20),0),2),"")</f>
        <v>Aap</v>
      </c>
      <c r="P20" s="249" t="str">
        <f t="array" ref="P20">IFERROR(INDEX($AM$20:$AP$119,MATCH(1,(P$8&gt;=$AO$20:$AO$119)*($AP$20:$AP$119&gt;=P$8)*($AM$20:$AM$119=$B$20),0),2),"")</f>
        <v>Aap</v>
      </c>
      <c r="Q20" s="249" t="str">
        <f t="array" ref="Q20">IFERROR(INDEX($AM$20:$AP$119,MATCH(1,(Q$8&gt;=$AO$20:$AO$119)*($AP$20:$AP$119&gt;=Q$8)*($AM$20:$AM$119=$B$20),0),2),"")</f>
        <v>Aap</v>
      </c>
      <c r="R20" s="249" t="str">
        <f t="array" ref="R20">IFERROR(INDEX($AM$20:$AP$119,MATCH(1,(R$8&gt;=$AO$20:$AO$119)*($AP$20:$AP$119&gt;=R$8)*($AM$20:$AM$119=$B$20),0),2),"")</f>
        <v>Aap</v>
      </c>
      <c r="S20" s="249" t="str">
        <f t="array" ref="S20">IFERROR(INDEX($AM$20:$AP$119,MATCH(1,(S$8&gt;=$AO$20:$AO$119)*($AP$20:$AP$119&gt;=S$8)*($AM$20:$AM$119=$B$20),0),2),"")</f>
        <v>Aap</v>
      </c>
      <c r="T20" s="249" t="str">
        <f t="array" ref="T20">IFERROR(INDEX($AM$20:$AP$119,MATCH(1,(T$8&gt;=$AO$20:$AO$119)*($AP$20:$AP$119&gt;=T$8)*($AM$20:$AM$119=$B$20),0),2),"")</f>
        <v>Aap</v>
      </c>
      <c r="U20" s="249" t="str">
        <f t="array" ref="U20">IFERROR(INDEX($AM$20:$AP$119,MATCH(1,(U$8&gt;=$AO$20:$AO$119)*($AP$20:$AP$119&gt;=U$8)*($AM$20:$AM$119=$B$20),0),2),"")</f>
        <v>Aap</v>
      </c>
      <c r="V20" s="249" t="str">
        <f t="array" ref="V20">IFERROR(INDEX($AM$20:$AP$119,MATCH(1,(V$8&gt;=$AO$20:$AO$119)*($AP$20:$AP$119&gt;=V$8)*($AM$20:$AM$119=$B$20),0),2),"")</f>
        <v>Aap</v>
      </c>
      <c r="W20" s="249" t="str">
        <f t="array" ref="W20">IFERROR(INDEX($AM$20:$AP$119,MATCH(1,(W$8&gt;=$AO$20:$AO$119)*($AP$20:$AP$119&gt;=W$8)*($AM$20:$AM$119=$B$20),0),2),"")</f>
        <v>Aap</v>
      </c>
      <c r="X20" s="249" t="str">
        <f t="array" ref="X20">IFERROR(INDEX($AM$20:$AP$119,MATCH(1,(X$8&gt;=$AO$20:$AO$119)*($AP$20:$AP$119&gt;=X$8)*($AM$20:$AM$119=$B$20),0),2),"")</f>
        <v>Aap</v>
      </c>
      <c r="Y20" s="249" t="str">
        <f t="array" ref="Y20">IFERROR(INDEX($AM$20:$AP$119,MATCH(1,(Y$8&gt;=$AO$20:$AO$119)*($AP$20:$AP$119&gt;=Y$8)*($AM$20:$AM$119=$B$20),0),2),"")</f>
        <v/>
      </c>
      <c r="Z20" s="249" t="str">
        <f t="array" ref="Z20">IFERROR(INDEX($AM$20:$AP$119,MATCH(1,(Z$8&gt;=$AO$20:$AO$119)*($AP$20:$AP$119&gt;=Z$8)*($AM$20:$AM$119=$B$20),0),2),"")</f>
        <v/>
      </c>
      <c r="AA20" s="249" t="str">
        <f t="array" ref="AA20">IFERROR(INDEX($AM$20:$AP$119,MATCH(1,(AA$8&gt;=$AO$20:$AO$119)*($AP$20:$AP$119&gt;=AA$8)*($AM$20:$AM$119=$B$20),0),2),"")</f>
        <v/>
      </c>
      <c r="AB20" s="249" t="str">
        <f t="array" ref="AB20">IFERROR(INDEX($AM$20:$AP$119,MATCH(1,(AB$8&gt;=$AO$20:$AO$119)*($AP$20:$AP$119&gt;=AB$8)*($AM$20:$AM$119=$B$20),0),2),"")</f>
        <v/>
      </c>
      <c r="AC20" s="249" t="str">
        <f t="array" ref="AC20">IFERROR(INDEX($AM$20:$AP$119,MATCH(1,(AC$8&gt;=$AO$20:$AO$119)*($AP$20:$AP$119&gt;=AC$8)*($AM$20:$AM$119=$B$20),0),2),"")</f>
        <v/>
      </c>
      <c r="AD20" s="249" t="str">
        <f t="array" ref="AD20">IFERROR(INDEX($AM$20:$AP$119,MATCH(1,(AD$8&gt;=$AO$20:$AO$119)*($AP$20:$AP$119&gt;=AD$8)*($AM$20:$AM$119=$B$20),0),2),"")</f>
        <v/>
      </c>
      <c r="AE20" s="249" t="str">
        <f t="array" ref="AE20">IFERROR(INDEX($AM$20:$AP$119,MATCH(1,(AE$8&gt;=$AO$20:$AO$119)*($AP$20:$AP$119&gt;=AE$8)*($AM$20:$AM$119=$B$20),0),2),"")</f>
        <v/>
      </c>
      <c r="AF20" s="249" t="str">
        <f t="array" ref="AF20">IFERROR(INDEX($AM$20:$AP$119,MATCH(1,(AF$8&gt;=$AO$20:$AO$119)*($AP$20:$AP$119&gt;=AF$8)*($AM$20:$AM$119=$B$20),0),2),"")</f>
        <v/>
      </c>
      <c r="AG20" s="249" t="str">
        <f t="array" ref="AG20">IFERROR(INDEX($AM$20:$AP$119,MATCH(1,(AG$8&gt;=$AO$20:$AO$119)*($AP$20:$AP$119&gt;=AG$8)*($AM$20:$AM$119=$B$20),0),2),"")</f>
        <v/>
      </c>
      <c r="AH20" s="256" t="str">
        <f>B20</f>
        <v>florence</v>
      </c>
      <c r="AI20" s="255">
        <f>COUNTIF(C20:AG20,$AI$10)</f>
        <v>0</v>
      </c>
      <c r="AJ20" s="13"/>
      <c r="AK20" s="696" t="s">
        <v>500</v>
      </c>
      <c r="AL20" s="13">
        <v>1</v>
      </c>
      <c r="AM20" s="11" t="s">
        <v>4</v>
      </c>
      <c r="AN20" s="630" t="s">
        <v>662</v>
      </c>
      <c r="AO20" s="31">
        <v>43862</v>
      </c>
      <c r="AP20" s="31">
        <v>43865</v>
      </c>
      <c r="AQ20" s="635">
        <f>Absences26810121424[[#This Row],[debut]]</f>
        <v>43862</v>
      </c>
      <c r="AR20" s="13"/>
      <c r="AS20" s="597" t="s">
        <v>369</v>
      </c>
      <c r="AT20" s="630" t="s">
        <v>662</v>
      </c>
      <c r="AU20" s="13"/>
      <c r="AV20" s="70"/>
      <c r="AW20" s="57"/>
      <c r="AX20" s="57"/>
      <c r="AY20" s="57"/>
      <c r="AZ20" s="54"/>
      <c r="BA20" s="54"/>
      <c r="BB20" s="54"/>
      <c r="BC20" s="55"/>
      <c r="BD20" s="56"/>
      <c r="BE20" s="56"/>
      <c r="BF20" s="56"/>
      <c r="BG20" s="56"/>
      <c r="BI20" s="290"/>
      <c r="BJ20" s="295"/>
      <c r="BK20" s="323" t="s">
        <v>356</v>
      </c>
      <c r="BL20" s="315" t="s">
        <v>357</v>
      </c>
      <c r="BM20" s="294"/>
      <c r="BN20" s="294"/>
      <c r="BO20" s="294"/>
      <c r="BP20" s="294"/>
      <c r="BQ20" s="294"/>
      <c r="BR20" s="294"/>
      <c r="BS20" s="315"/>
      <c r="BT20" s="294"/>
      <c r="BU20" s="292"/>
      <c r="BV20" s="294"/>
      <c r="BW20" s="294"/>
      <c r="BX20" s="313"/>
      <c r="BZ20" s="1490">
        <f>BZ4+1</f>
        <v>2021</v>
      </c>
      <c r="CA20" s="1491"/>
      <c r="CB20" s="1492"/>
      <c r="CC20" s="563"/>
      <c r="CD20" s="369" t="s">
        <v>721</v>
      </c>
      <c r="CE20" s="370">
        <f>DATE(CD4+1,1,1)</f>
        <v>44927</v>
      </c>
    </row>
    <row r="21" spans="1:83" ht="16.5" customHeight="1" thickBot="1" x14ac:dyDescent="0.3">
      <c r="A21" s="13"/>
      <c r="B21" s="43">
        <f>COUNTA(C21:AG21)</f>
        <v>0</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706">
        <f>COUNTIF(C20:AG20,$AH$11)</f>
        <v>0</v>
      </c>
      <c r="AI21" s="708">
        <f>COUNTIF(C20:AG20,$AI$11)</f>
        <v>0</v>
      </c>
      <c r="AJ21" s="13"/>
      <c r="AK21" s="697" t="s">
        <v>4</v>
      </c>
      <c r="AL21" s="13">
        <v>2</v>
      </c>
      <c r="AM21" s="11" t="s">
        <v>5</v>
      </c>
      <c r="AN21" s="631" t="s">
        <v>800</v>
      </c>
      <c r="AO21" s="31">
        <v>43897</v>
      </c>
      <c r="AP21" s="31">
        <v>43902</v>
      </c>
      <c r="AQ21" s="635">
        <f>Absences26810121424[[#This Row],[debut]]</f>
        <v>43897</v>
      </c>
      <c r="AR21" s="13"/>
      <c r="AS21" s="608" t="s">
        <v>370</v>
      </c>
      <c r="AT21" s="631" t="s">
        <v>800</v>
      </c>
      <c r="AU21" s="13"/>
      <c r="AV21" s="94" t="s">
        <v>85</v>
      </c>
      <c r="AW21" s="50">
        <v>0.41666666666666669</v>
      </c>
      <c r="AX21" s="50">
        <v>0.60416666666666663</v>
      </c>
      <c r="AY21" s="51">
        <v>1</v>
      </c>
      <c r="AZ21" s="52">
        <f>IF(AX21-AW21=0,0,(AX21-AW21)-(AY21*TIMEVALUE("00:30")))</f>
        <v>0.1666666666666666</v>
      </c>
      <c r="BA21" s="53" t="s">
        <v>67</v>
      </c>
      <c r="BB21" s="54"/>
      <c r="BC21" s="55"/>
      <c r="BD21" s="56"/>
      <c r="BE21" s="56"/>
      <c r="BF21" s="56"/>
      <c r="BG21" s="56"/>
      <c r="BI21" s="290"/>
      <c r="BJ21" s="295"/>
      <c r="BK21" s="323" t="s">
        <v>358</v>
      </c>
      <c r="BL21" s="315" t="s">
        <v>359</v>
      </c>
      <c r="BM21" s="294"/>
      <c r="BN21" s="294"/>
      <c r="BO21" s="294"/>
      <c r="BP21" s="324"/>
      <c r="BQ21" s="324"/>
      <c r="BR21" s="292"/>
      <c r="BS21" s="325" t="s">
        <v>664</v>
      </c>
      <c r="BT21" s="292"/>
      <c r="BU21" s="292"/>
      <c r="BV21" s="294"/>
      <c r="BW21" s="294"/>
      <c r="BX21" s="313"/>
      <c r="BZ21" s="359">
        <f>CA21</f>
        <v>44197</v>
      </c>
      <c r="CA21" s="360">
        <f>DATE(BZ4+1,1,1)</f>
        <v>44197</v>
      </c>
      <c r="CB21" s="361" t="s">
        <v>721</v>
      </c>
      <c r="CC21" s="563"/>
      <c r="CD21" s="563"/>
      <c r="CE21" s="563"/>
    </row>
    <row r="22" spans="1:83" ht="14.25" customHeight="1" thickBot="1" x14ac:dyDescent="0.3">
      <c r="A22" s="13"/>
      <c r="B22" s="697" t="s">
        <v>856</v>
      </c>
      <c r="C22" s="249" t="str">
        <f t="array" ref="C22">IFERROR(INDEX($AM$20:$AP$119,MATCH(1,(C$8&gt;=$AO$20:$AO$119)*($AP$20:$AP$119&gt;=C$8)*($AM$20:$AM$119=$B$22),0),2),"")</f>
        <v/>
      </c>
      <c r="D22" s="249" t="str">
        <f t="array" ref="D22">IFERROR(INDEX($AM$20:$AP$119,MATCH(1,(D$8&gt;=$AO$20:$AO$119)*($AP$20:$AP$119&gt;=D$8)*($AM$20:$AM$119=$B$22),0),2),"")</f>
        <v/>
      </c>
      <c r="E22" s="249" t="str">
        <f t="array" ref="E22">IFERROR(INDEX($AM$20:$AP$119,MATCH(1,(E$8&gt;=$AO$20:$AO$119)*($AP$20:$AP$119&gt;=E$8)*($AM$20:$AM$119=$B$22),0),2),"")</f>
        <v/>
      </c>
      <c r="F22" s="249" t="str">
        <f t="array" ref="F22">IFERROR(INDEX($AM$20:$AP$119,MATCH(1,(F$8&gt;=$AO$20:$AO$119)*($AP$20:$AP$119&gt;=F$8)*($AM$20:$AM$119=$B$22),0),2),"")</f>
        <v/>
      </c>
      <c r="G22" s="249" t="str">
        <f t="array" ref="G22">IFERROR(INDEX($AM$20:$AP$119,MATCH(1,(G$8&gt;=$AO$20:$AO$119)*($AP$20:$AP$119&gt;=G$8)*($AM$20:$AM$119=$B$22),0),2),"")</f>
        <v/>
      </c>
      <c r="H22" s="249" t="str">
        <f t="array" ref="H22">IFERROR(INDEX($AM$20:$AP$119,MATCH(1,(H$8&gt;=$AO$20:$AO$119)*($AP$20:$AP$119&gt;=H$8)*($AM$20:$AM$119=$B$22),0),2),"")</f>
        <v/>
      </c>
      <c r="I22" s="249" t="str">
        <f t="array" ref="I22">IFERROR(INDEX($AM$20:$AP$119,MATCH(1,(I$8&gt;=$AO$20:$AO$119)*($AP$20:$AP$119&gt;=I$8)*($AM$20:$AM$119=$B$22),0),2),"")</f>
        <v>M</v>
      </c>
      <c r="J22" s="249" t="str">
        <f t="array" ref="J22">IFERROR(INDEX($AM$20:$AP$119,MATCH(1,(J$8&gt;=$AO$20:$AO$119)*($AP$20:$AP$119&gt;=J$8)*($AM$20:$AM$119=$B$22),0),2),"")</f>
        <v>M</v>
      </c>
      <c r="K22" s="249" t="str">
        <f t="array" ref="K22">IFERROR(INDEX($AM$20:$AP$119,MATCH(1,(K$8&gt;=$AO$20:$AO$119)*($AP$20:$AP$119&gt;=K$8)*($AM$20:$AM$119=$B$22),0),2),"")</f>
        <v>M</v>
      </c>
      <c r="L22" s="249" t="str">
        <f t="array" ref="L22">IFERROR(INDEX($AM$20:$AP$119,MATCH(1,(L$8&gt;=$AO$20:$AO$119)*($AP$20:$AP$119&gt;=L$8)*($AM$20:$AM$119=$B$22),0),2),"")</f>
        <v>M</v>
      </c>
      <c r="M22" s="249" t="str">
        <f t="array" ref="M22">IFERROR(INDEX($AM$20:$AP$119,MATCH(1,(M$8&gt;=$AO$20:$AO$119)*($AP$20:$AP$119&gt;=M$8)*($AM$20:$AM$119=$B$22),0),2),"")</f>
        <v>M</v>
      </c>
      <c r="N22" s="249" t="str">
        <f t="array" ref="N22">IFERROR(INDEX($AM$20:$AP$119,MATCH(1,(N$8&gt;=$AO$20:$AO$119)*($AP$20:$AP$119&gt;=N$8)*($AM$20:$AM$119=$B$22),0),2),"")</f>
        <v>M</v>
      </c>
      <c r="O22" s="249" t="str">
        <f t="array" ref="O22">IFERROR(INDEX($AM$20:$AP$119,MATCH(1,(O$8&gt;=$AO$20:$AO$119)*($AP$20:$AP$119&gt;=O$8)*($AM$20:$AM$119=$B$22),0),2),"")</f>
        <v/>
      </c>
      <c r="P22" s="249" t="str">
        <f t="array" ref="P22">IFERROR(INDEX($AM$20:$AP$119,MATCH(1,(P$8&gt;=$AO$20:$AO$119)*($AP$20:$AP$119&gt;=P$8)*($AM$20:$AM$119=$B$22),0),2),"")</f>
        <v/>
      </c>
      <c r="Q22" s="249" t="str">
        <f t="array" ref="Q22">IFERROR(INDEX($AM$20:$AP$119,MATCH(1,(Q$8&gt;=$AO$20:$AO$119)*($AP$20:$AP$119&gt;=Q$8)*($AM$20:$AM$119=$B$22),0),2),"")</f>
        <v/>
      </c>
      <c r="R22" s="249" t="str">
        <f t="array" ref="R22">IFERROR(INDEX($AM$20:$AP$119,MATCH(1,(R$8&gt;=$AO$20:$AO$119)*($AP$20:$AP$119&gt;=R$8)*($AM$20:$AM$119=$B$22),0),2),"")</f>
        <v/>
      </c>
      <c r="S22" s="249" t="str">
        <f t="array" ref="S22">IFERROR(INDEX($AM$20:$AP$119,MATCH(1,(S$8&gt;=$AO$20:$AO$119)*($AP$20:$AP$119&gt;=S$8)*($AM$20:$AM$119=$B$22),0),2),"")</f>
        <v/>
      </c>
      <c r="T22" s="249" t="str">
        <f t="array" ref="T22">IFERROR(INDEX($AM$20:$AP$119,MATCH(1,(T$8&gt;=$AO$20:$AO$119)*($AP$20:$AP$119&gt;=T$8)*($AM$20:$AM$119=$B$22),0),2),"")</f>
        <v/>
      </c>
      <c r="U22" s="249" t="str">
        <f t="array" ref="U22">IFERROR(INDEX($AM$20:$AP$119,MATCH(1,(U$8&gt;=$AO$20:$AO$119)*($AP$20:$AP$119&gt;=U$8)*($AM$20:$AM$119=$B$22),0),2),"")</f>
        <v/>
      </c>
      <c r="V22" s="249" t="str">
        <f t="array" ref="V22">IFERROR(INDEX($AM$20:$AP$119,MATCH(1,(V$8&gt;=$AO$20:$AO$119)*($AP$20:$AP$119&gt;=V$8)*($AM$20:$AM$119=$B$22),0),2),"")</f>
        <v/>
      </c>
      <c r="W22" s="249" t="str">
        <f t="array" ref="W22">IFERROR(INDEX($AM$20:$AP$119,MATCH(1,(W$8&gt;=$AO$20:$AO$119)*($AP$20:$AP$119&gt;=W$8)*($AM$20:$AM$119=$B$22),0),2),"")</f>
        <v/>
      </c>
      <c r="X22" s="249" t="str">
        <f t="array" ref="X22">IFERROR(INDEX($AM$20:$AP$119,MATCH(1,(X$8&gt;=$AO$20:$AO$119)*($AP$20:$AP$119&gt;=X$8)*($AM$20:$AM$119=$B$22),0),2),"")</f>
        <v/>
      </c>
      <c r="Y22" s="249" t="str">
        <f t="array" ref="Y22">IFERROR(INDEX($AM$20:$AP$119,MATCH(1,(Y$8&gt;=$AO$20:$AO$119)*($AP$20:$AP$119&gt;=Y$8)*($AM$20:$AM$119=$B$22),0),2),"")</f>
        <v/>
      </c>
      <c r="Z22" s="249" t="str">
        <f t="array" ref="Z22">IFERROR(INDEX($AM$20:$AP$119,MATCH(1,(Z$8&gt;=$AO$20:$AO$119)*($AP$20:$AP$119&gt;=Z$8)*($AM$20:$AM$119=$B$22),0),2),"")</f>
        <v/>
      </c>
      <c r="AA22" s="249" t="str">
        <f t="array" ref="AA22">IFERROR(INDEX($AM$20:$AP$119,MATCH(1,(AA$8&gt;=$AO$20:$AO$119)*($AP$20:$AP$119&gt;=AA$8)*($AM$20:$AM$119=$B$22),0),2),"")</f>
        <v/>
      </c>
      <c r="AB22" s="249" t="str">
        <f t="array" ref="AB22">IFERROR(INDEX($AM$20:$AP$119,MATCH(1,(AB$8&gt;=$AO$20:$AO$119)*($AP$20:$AP$119&gt;=AB$8)*($AM$20:$AM$119=$B$22),0),2),"")</f>
        <v/>
      </c>
      <c r="AC22" s="249" t="str">
        <f t="array" ref="AC22">IFERROR(INDEX($AM$20:$AP$119,MATCH(1,(AC$8&gt;=$AO$20:$AO$119)*($AP$20:$AP$119&gt;=AC$8)*($AM$20:$AM$119=$B$22),0),2),"")</f>
        <v/>
      </c>
      <c r="AD22" s="249" t="str">
        <f t="array" ref="AD22">IFERROR(INDEX($AM$20:$AP$119,MATCH(1,(AD$8&gt;=$AO$20:$AO$119)*($AP$20:$AP$119&gt;=AD$8)*($AM$20:$AM$119=$B$22),0),2),"")</f>
        <v/>
      </c>
      <c r="AE22" s="249" t="str">
        <f t="array" ref="AE22">IFERROR(INDEX($AM$20:$AP$119,MATCH(1,(AE$8&gt;=$AO$20:$AO$119)*($AP$20:$AP$119&gt;=AE$8)*($AM$20:$AM$119=$B$22),0),2),"")</f>
        <v/>
      </c>
      <c r="AF22" s="249" t="str">
        <f t="array" ref="AF22">IFERROR(INDEX($AM$20:$AP$119,MATCH(1,(AF$8&gt;=$AO$20:$AO$119)*($AP$20:$AP$119&gt;=AF$8)*($AM$20:$AM$119=$B$22),0),2),"")</f>
        <v/>
      </c>
      <c r="AG22" s="249" t="str">
        <f t="array" ref="AG22">IFERROR(INDEX($AM$20:$AP$119,MATCH(1,(AG$8&gt;=$AO$20:$AO$119)*($AP$20:$AP$119&gt;=AG$8)*($AM$20:$AM$119=$B$22),0),2),"")</f>
        <v/>
      </c>
      <c r="AH22" s="256" t="str">
        <f>B22</f>
        <v>isabelle</v>
      </c>
      <c r="AI22" s="255">
        <f>COUNTIF(C22:AG22,$AI$10)</f>
        <v>0</v>
      </c>
      <c r="AJ22" s="13"/>
      <c r="AK22" s="696" t="s">
        <v>855</v>
      </c>
      <c r="AL22" s="13">
        <v>3</v>
      </c>
      <c r="AM22" s="11" t="s">
        <v>5</v>
      </c>
      <c r="AN22" s="632" t="s">
        <v>7</v>
      </c>
      <c r="AO22" s="31">
        <v>43838</v>
      </c>
      <c r="AP22" s="31">
        <v>43845</v>
      </c>
      <c r="AQ22" s="635">
        <f>Absences26810121424[[#This Row],[debut]]</f>
        <v>43838</v>
      </c>
      <c r="AR22" s="13"/>
      <c r="AS22" s="597" t="s">
        <v>374</v>
      </c>
      <c r="AT22" s="632" t="s">
        <v>7</v>
      </c>
      <c r="AU22" s="13"/>
      <c r="AV22" s="70"/>
      <c r="AW22" s="57"/>
      <c r="AX22" s="57"/>
      <c r="AY22" s="57"/>
      <c r="AZ22" s="54"/>
      <c r="BA22" s="54"/>
      <c r="BB22" s="54"/>
      <c r="BC22" s="55"/>
      <c r="BD22" s="56"/>
      <c r="BE22" s="56"/>
      <c r="BF22" s="56"/>
      <c r="BG22" s="56"/>
      <c r="BI22" s="290"/>
      <c r="BJ22" s="295"/>
      <c r="BK22" s="326" t="s">
        <v>542</v>
      </c>
      <c r="BL22" s="315" t="s">
        <v>543</v>
      </c>
      <c r="BM22" s="294"/>
      <c r="BN22" s="294"/>
      <c r="BO22" s="294"/>
      <c r="BP22" s="292"/>
      <c r="BQ22" s="292"/>
      <c r="BR22" s="292"/>
      <c r="BS22" s="327" t="s">
        <v>546</v>
      </c>
      <c r="BT22" s="315" t="s">
        <v>547</v>
      </c>
      <c r="BU22" s="292"/>
      <c r="BV22" s="294"/>
      <c r="BW22" s="294"/>
      <c r="BX22" s="313"/>
      <c r="BZ22" s="359">
        <f t="shared" ref="BZ22:BZ33" si="5">CA22</f>
        <v>44290</v>
      </c>
      <c r="CA22" s="360">
        <f>DATE(BZ4+1,3,29.56+0.979*MOD(204-11*MOD(BZ4+1,19),30)-WEEKDAY(DATE(BZ4+1,3,28.56+0.979*MOD(204-11*MOD(BZ4+1,19),30))))</f>
        <v>44290</v>
      </c>
      <c r="CB22" s="361" t="s">
        <v>585</v>
      </c>
      <c r="CC22" s="563"/>
      <c r="CD22" s="563"/>
      <c r="CE22" s="563"/>
    </row>
    <row r="23" spans="1:83" ht="16.5" customHeight="1" thickTop="1" thickBot="1" x14ac:dyDescent="0.3">
      <c r="A23" s="13"/>
      <c r="B23" s="43">
        <f>COUNTA(C23:AG23)</f>
        <v>0</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706">
        <f>COUNTIF(C22:AG22,$AH$11)</f>
        <v>0</v>
      </c>
      <c r="AI23" s="708">
        <f>COUNTIF(C22:AG22,$AI$11)</f>
        <v>0</v>
      </c>
      <c r="AJ23" s="13"/>
      <c r="AK23" s="697" t="s">
        <v>499</v>
      </c>
      <c r="AL23" s="13">
        <v>4</v>
      </c>
      <c r="AM23" s="11" t="s">
        <v>4</v>
      </c>
      <c r="AN23" s="628" t="s">
        <v>8</v>
      </c>
      <c r="AO23" s="32">
        <v>43897</v>
      </c>
      <c r="AP23" s="32">
        <v>43902</v>
      </c>
      <c r="AQ23" s="635">
        <f>Absences26810121424[[#This Row],[debut]]</f>
        <v>43897</v>
      </c>
      <c r="AR23" s="13"/>
      <c r="AS23" s="609" t="s">
        <v>367</v>
      </c>
      <c r="AT23" s="628" t="s">
        <v>8</v>
      </c>
      <c r="AU23" s="13"/>
      <c r="AV23" s="94" t="s">
        <v>86</v>
      </c>
      <c r="AW23" s="50">
        <v>0.27083333333333331</v>
      </c>
      <c r="AX23" s="50">
        <v>0.625</v>
      </c>
      <c r="AY23" s="51">
        <v>1</v>
      </c>
      <c r="AZ23" s="52">
        <f>IF(AX23-AW23=0,0,(AX23-AW23)-(AY23*TIMEVALUE("00:30")))</f>
        <v>0.33333333333333337</v>
      </c>
      <c r="BA23" s="53" t="s">
        <v>68</v>
      </c>
      <c r="BB23" s="54"/>
      <c r="BC23" s="55"/>
      <c r="BD23" s="56"/>
      <c r="BE23" s="56"/>
      <c r="BF23" s="56"/>
      <c r="BG23" s="56"/>
      <c r="BI23" s="290"/>
      <c r="BJ23" s="295"/>
      <c r="BK23" s="328" t="s">
        <v>362</v>
      </c>
      <c r="BL23" s="315" t="s">
        <v>363</v>
      </c>
      <c r="BM23" s="294"/>
      <c r="BN23" s="294"/>
      <c r="BO23" s="294"/>
      <c r="BP23" s="292"/>
      <c r="BQ23" s="292"/>
      <c r="BR23" s="292"/>
      <c r="BS23" s="329" t="s">
        <v>665</v>
      </c>
      <c r="BT23" s="330"/>
      <c r="BU23" s="292"/>
      <c r="BV23" s="294"/>
      <c r="BW23" s="331"/>
      <c r="BX23" s="313"/>
      <c r="BZ23" s="359">
        <f t="shared" si="5"/>
        <v>44291</v>
      </c>
      <c r="CA23" s="522">
        <f>CA22+1</f>
        <v>44291</v>
      </c>
      <c r="CB23" s="361" t="s">
        <v>725</v>
      </c>
      <c r="CC23" s="563"/>
      <c r="CD23" s="563"/>
      <c r="CE23" s="563"/>
    </row>
    <row r="24" spans="1:83" ht="14.25" customHeight="1" x14ac:dyDescent="0.25">
      <c r="A24" s="13"/>
      <c r="B24" s="696" t="s">
        <v>852</v>
      </c>
      <c r="C24" s="249" t="str">
        <f t="array" ref="C24">IFERROR(INDEX($AM$20:$AP$119,MATCH(1,(C$8&gt;=$AO$20:$AO$119)*($AP$20:$AP$119&gt;=C$8)*($AM$20:$AM$119=$B$24),0),2),"")</f>
        <v/>
      </c>
      <c r="D24" s="249" t="str">
        <f t="array" ref="D24">IFERROR(INDEX($AM$20:$AP$119,MATCH(1,(D$8&gt;=$AO$20:$AO$119)*($AP$20:$AP$119&gt;=D$8)*($AM$20:$AM$119=$B$24),0),2),"")</f>
        <v/>
      </c>
      <c r="E24" s="249" t="str">
        <f t="array" ref="E24">IFERROR(INDEX($AM$20:$AP$119,MATCH(1,(E$8&gt;=$AO$20:$AO$119)*($AP$20:$AP$119&gt;=E$8)*($AM$20:$AM$119=$B$24),0),2),"")</f>
        <v/>
      </c>
      <c r="F24" s="249" t="str">
        <f t="array" ref="F24">IFERROR(INDEX($AM$20:$AP$119,MATCH(1,(F$8&gt;=$AO$20:$AO$119)*($AP$20:$AP$119&gt;=F$8)*($AM$20:$AM$119=$B$24),0),2),"")</f>
        <v/>
      </c>
      <c r="G24" s="249" t="str">
        <f t="array" ref="G24">IFERROR(INDEX($AM$20:$AP$119,MATCH(1,(G$8&gt;=$AO$20:$AO$119)*($AP$20:$AP$119&gt;=G$8)*($AM$20:$AM$119=$B$24),0),2),"")</f>
        <v/>
      </c>
      <c r="H24" s="249" t="str">
        <f t="array" ref="H24">IFERROR(INDEX($AM$20:$AP$119,MATCH(1,(H$8&gt;=$AO$20:$AO$119)*($AP$20:$AP$119&gt;=H$8)*($AM$20:$AM$119=$B$24),0),2),"")</f>
        <v/>
      </c>
      <c r="I24" s="249" t="str">
        <f t="array" ref="I24">IFERROR(INDEX($AM$20:$AP$119,MATCH(1,(I$8&gt;=$AO$20:$AO$119)*($AP$20:$AP$119&gt;=I$8)*($AM$20:$AM$119=$B$24),0),2),"")</f>
        <v/>
      </c>
      <c r="J24" s="249" t="str">
        <f t="array" ref="J24">IFERROR(INDEX($AM$20:$AP$119,MATCH(1,(J$8&gt;=$AO$20:$AO$119)*($AP$20:$AP$119&gt;=J$8)*($AM$20:$AM$119=$B$24),0),2),"")</f>
        <v/>
      </c>
      <c r="K24" s="249" t="str">
        <f t="array" ref="K24">IFERROR(INDEX($AM$20:$AP$119,MATCH(1,(K$8&gt;=$AO$20:$AO$119)*($AP$20:$AP$119&gt;=K$8)*($AM$20:$AM$119=$B$24),0),2),"")</f>
        <v/>
      </c>
      <c r="L24" s="249" t="str">
        <f t="array" ref="L24">IFERROR(INDEX($AM$20:$AP$119,MATCH(1,(L$8&gt;=$AO$20:$AO$119)*($AP$20:$AP$119&gt;=L$8)*($AM$20:$AM$119=$B$24),0),2),"")</f>
        <v/>
      </c>
      <c r="M24" s="249" t="str">
        <f t="array" ref="M24">IFERROR(INDEX($AM$20:$AP$119,MATCH(1,(M$8&gt;=$AO$20:$AO$119)*($AP$20:$AP$119&gt;=M$8)*($AM$20:$AM$119=$B$24),0),2),"")</f>
        <v/>
      </c>
      <c r="N24" s="249" t="str">
        <f t="array" ref="N24">IFERROR(INDEX($AM$20:$AP$119,MATCH(1,(N$8&gt;=$AO$20:$AO$119)*($AP$20:$AP$119&gt;=N$8)*($AM$20:$AM$119=$B$24),0),2),"")</f>
        <v/>
      </c>
      <c r="O24" s="249" t="str">
        <f t="array" ref="O24">IFERROR(INDEX($AM$20:$AP$119,MATCH(1,(O$8&gt;=$AO$20:$AO$119)*($AP$20:$AP$119&gt;=O$8)*($AM$20:$AM$119=$B$24),0),2),"")</f>
        <v/>
      </c>
      <c r="P24" s="249" t="str">
        <f t="array" ref="P24">IFERROR(INDEX($AM$20:$AP$119,MATCH(1,(P$8&gt;=$AO$20:$AO$119)*($AP$20:$AP$119&gt;=P$8)*($AM$20:$AM$119=$B$24),0),2),"")</f>
        <v/>
      </c>
      <c r="Q24" s="249" t="str">
        <f t="array" ref="Q24">IFERROR(INDEX($AM$20:$AP$119,MATCH(1,(Q$8&gt;=$AO$20:$AO$119)*($AP$20:$AP$119&gt;=Q$8)*($AM$20:$AM$119=$B$24),0),2),"")</f>
        <v/>
      </c>
      <c r="R24" s="249" t="str">
        <f t="array" ref="R24">IFERROR(INDEX($AM$20:$AP$119,MATCH(1,(R$8&gt;=$AO$20:$AO$119)*($AP$20:$AP$119&gt;=R$8)*($AM$20:$AM$119=$B$24),0),2),"")</f>
        <v/>
      </c>
      <c r="S24" s="249" t="str">
        <f t="array" ref="S24">IFERROR(INDEX($AM$20:$AP$119,MATCH(1,(S$8&gt;=$AO$20:$AO$119)*($AP$20:$AP$119&gt;=S$8)*($AM$20:$AM$119=$B$24),0),2),"")</f>
        <v/>
      </c>
      <c r="T24" s="249" t="str">
        <f t="array" ref="T24">IFERROR(INDEX($AM$20:$AP$119,MATCH(1,(T$8&gt;=$AO$20:$AO$119)*($AP$20:$AP$119&gt;=T$8)*($AM$20:$AM$119=$B$24),0),2),"")</f>
        <v/>
      </c>
      <c r="U24" s="249" t="str">
        <f t="array" ref="U24">IFERROR(INDEX($AM$20:$AP$119,MATCH(1,(U$8&gt;=$AO$20:$AO$119)*($AP$20:$AP$119&gt;=U$8)*($AM$20:$AM$119=$B$24),0),2),"")</f>
        <v/>
      </c>
      <c r="V24" s="249" t="str">
        <f t="array" ref="V24">IFERROR(INDEX($AM$20:$AP$119,MATCH(1,(V$8&gt;=$AO$20:$AO$119)*($AP$20:$AP$119&gt;=V$8)*($AM$20:$AM$119=$B$24),0),2),"")</f>
        <v/>
      </c>
      <c r="W24" s="249" t="str">
        <f t="array" ref="W24">IFERROR(INDEX($AM$20:$AP$119,MATCH(1,(W$8&gt;=$AO$20:$AO$119)*($AP$20:$AP$119&gt;=W$8)*($AM$20:$AM$119=$B$24),0),2),"")</f>
        <v/>
      </c>
      <c r="X24" s="249" t="str">
        <f t="array" ref="X24">IFERROR(INDEX($AM$20:$AP$119,MATCH(1,(X$8&gt;=$AO$20:$AO$119)*($AP$20:$AP$119&gt;=X$8)*($AM$20:$AM$119=$B$24),0),2),"")</f>
        <v/>
      </c>
      <c r="Y24" s="249" t="str">
        <f t="array" ref="Y24">IFERROR(INDEX($AM$20:$AP$119,MATCH(1,(Y$8&gt;=$AO$20:$AO$119)*($AP$20:$AP$119&gt;=Y$8)*($AM$20:$AM$119=$B$24),0),2),"")</f>
        <v/>
      </c>
      <c r="Z24" s="249" t="str">
        <f t="array" ref="Z24">IFERROR(INDEX($AM$20:$AP$119,MATCH(1,(Z$8&gt;=$AO$20:$AO$119)*($AP$20:$AP$119&gt;=Z$8)*($AM$20:$AM$119=$B$24),0),2),"")</f>
        <v/>
      </c>
      <c r="AA24" s="249" t="str">
        <f t="array" ref="AA24">IFERROR(INDEX($AM$20:$AP$119,MATCH(1,(AA$8&gt;=$AO$20:$AO$119)*($AP$20:$AP$119&gt;=AA$8)*($AM$20:$AM$119=$B$24),0),2),"")</f>
        <v/>
      </c>
      <c r="AB24" s="249" t="str">
        <f t="array" ref="AB24">IFERROR(INDEX($AM$20:$AP$119,MATCH(1,(AB$8&gt;=$AO$20:$AO$119)*($AP$20:$AP$119&gt;=AB$8)*($AM$20:$AM$119=$B$24),0),2),"")</f>
        <v/>
      </c>
      <c r="AC24" s="249" t="str">
        <f t="array" ref="AC24">IFERROR(INDEX($AM$20:$AP$119,MATCH(1,(AC$8&gt;=$AO$20:$AO$119)*($AP$20:$AP$119&gt;=AC$8)*($AM$20:$AM$119=$B$24),0),2),"")</f>
        <v/>
      </c>
      <c r="AD24" s="249" t="str">
        <f t="array" ref="AD24">IFERROR(INDEX($AM$20:$AP$119,MATCH(1,(AD$8&gt;=$AO$20:$AO$119)*($AP$20:$AP$119&gt;=AD$8)*($AM$20:$AM$119=$B$24),0),2),"")</f>
        <v/>
      </c>
      <c r="AE24" s="249" t="str">
        <f t="array" ref="AE24">IFERROR(INDEX($AM$20:$AP$119,MATCH(1,(AE$8&gt;=$AO$20:$AO$119)*($AP$20:$AP$119&gt;=AE$8)*($AM$20:$AM$119=$B$24),0),2),"")</f>
        <v/>
      </c>
      <c r="AF24" s="249" t="str">
        <f t="array" ref="AF24">IFERROR(INDEX($AM$20:$AP$119,MATCH(1,(AF$8&gt;=$AO$20:$AO$119)*($AP$20:$AP$119&gt;=AF$8)*($AM$20:$AM$119=$B$24),0),2),"")</f>
        <v/>
      </c>
      <c r="AG24" s="249" t="str">
        <f t="array" ref="AG24">IFERROR(INDEX($AM$20:$AP$119,MATCH(1,(AG$8&gt;=$AO$20:$AO$119)*($AP$20:$AP$119&gt;=AG$8)*($AM$20:$AM$119=$B$24),0),2),"")</f>
        <v/>
      </c>
      <c r="AH24" s="256" t="str">
        <f>B24</f>
        <v>jules</v>
      </c>
      <c r="AI24" s="255">
        <f>COUNTIF(C24:AG24,$AI$10)</f>
        <v>0</v>
      </c>
      <c r="AJ24" s="13"/>
      <c r="AK24" s="696" t="s">
        <v>849</v>
      </c>
      <c r="AL24" s="13">
        <v>5</v>
      </c>
      <c r="AM24" s="696" t="s">
        <v>849</v>
      </c>
      <c r="AN24" s="629" t="s">
        <v>360</v>
      </c>
      <c r="AO24" s="31">
        <v>43841</v>
      </c>
      <c r="AP24" s="31">
        <v>43852</v>
      </c>
      <c r="AQ24" s="635">
        <f>Absences26810121424[[#This Row],[debut]]</f>
        <v>43841</v>
      </c>
      <c r="AR24" s="13"/>
      <c r="AS24" s="595" t="s">
        <v>361</v>
      </c>
      <c r="AT24" s="629" t="s">
        <v>360</v>
      </c>
      <c r="AU24" s="13"/>
      <c r="AV24" s="70"/>
      <c r="AW24" s="57"/>
      <c r="AX24" s="57"/>
      <c r="AY24" s="57"/>
      <c r="AZ24" s="54"/>
      <c r="BA24" s="54"/>
      <c r="BB24" s="54"/>
      <c r="BC24" s="55"/>
      <c r="BD24" s="56"/>
      <c r="BE24" s="56"/>
      <c r="BF24" s="56"/>
      <c r="BG24" s="56"/>
      <c r="BI24" s="290"/>
      <c r="BJ24" s="295"/>
      <c r="BK24" s="281"/>
      <c r="BL24" s="294"/>
      <c r="BM24" s="294"/>
      <c r="BN24" s="294"/>
      <c r="BO24" s="294"/>
      <c r="BP24" s="292"/>
      <c r="BQ24" s="292"/>
      <c r="BR24" s="292"/>
      <c r="BS24" s="292"/>
      <c r="BT24" s="292"/>
      <c r="BU24" s="292"/>
      <c r="BV24" s="294"/>
      <c r="BW24" s="331"/>
      <c r="BX24" s="308"/>
      <c r="BZ24" s="359">
        <f t="shared" si="5"/>
        <v>44317</v>
      </c>
      <c r="CA24" s="522">
        <f>DATE(BZ4+1,5,1)</f>
        <v>44317</v>
      </c>
      <c r="CB24" s="361" t="s">
        <v>726</v>
      </c>
      <c r="CC24" s="563"/>
      <c r="CD24" s="563"/>
      <c r="CE24" s="563"/>
    </row>
    <row r="25" spans="1:83" ht="16.5" customHeight="1" thickBot="1" x14ac:dyDescent="0.3">
      <c r="A25" s="13"/>
      <c r="B25" s="43">
        <f>COUNTA(C25:AG25)</f>
        <v>0</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706">
        <f>COUNTIF(C24:AG24,$AH$11)</f>
        <v>0</v>
      </c>
      <c r="AI25" s="708">
        <f>COUNTIF(C24:AG24,$AI$11)</f>
        <v>0</v>
      </c>
      <c r="AJ25" s="13"/>
      <c r="AK25" s="697" t="s">
        <v>856</v>
      </c>
      <c r="AL25" s="13">
        <v>6</v>
      </c>
      <c r="AM25" s="697" t="s">
        <v>856</v>
      </c>
      <c r="AN25" s="10" t="s">
        <v>6</v>
      </c>
      <c r="AO25" s="31">
        <v>43837</v>
      </c>
      <c r="AP25" s="31">
        <v>43842</v>
      </c>
      <c r="AQ25" s="635">
        <f>Absences26810121424[[#This Row],[debut]]</f>
        <v>43837</v>
      </c>
      <c r="AR25" s="13"/>
      <c r="AS25" s="608" t="s">
        <v>357</v>
      </c>
      <c r="AT25" s="10" t="s">
        <v>6</v>
      </c>
      <c r="AU25" s="13"/>
      <c r="AV25" s="94" t="s">
        <v>87</v>
      </c>
      <c r="AW25" s="50">
        <v>0.3125</v>
      </c>
      <c r="AX25" s="50">
        <v>0.47916666666666669</v>
      </c>
      <c r="AY25" s="51">
        <v>0</v>
      </c>
      <c r="AZ25" s="52">
        <f>IF(AX25-AW25=0,0,(AX25-AW25)-(AY25*TIMEVALUE("00:30")))</f>
        <v>0.16666666666666669</v>
      </c>
      <c r="BA25" s="53" t="s">
        <v>62</v>
      </c>
      <c r="BB25" s="54"/>
      <c r="BC25" s="55"/>
      <c r="BD25" s="56"/>
      <c r="BE25" s="56"/>
      <c r="BF25" s="56"/>
      <c r="BG25" s="56"/>
      <c r="BI25" s="290"/>
      <c r="BJ25" s="295"/>
      <c r="BK25" s="332"/>
      <c r="BL25" s="59"/>
      <c r="BM25" s="294"/>
      <c r="BN25" s="294"/>
      <c r="BO25" s="294"/>
      <c r="BP25" s="292"/>
      <c r="BQ25" s="292"/>
      <c r="BR25" s="292"/>
      <c r="BS25" s="292"/>
      <c r="BT25" s="292"/>
      <c r="BU25" s="292"/>
      <c r="BV25" s="294"/>
      <c r="BW25" s="331"/>
      <c r="BX25" s="308"/>
      <c r="BZ25" s="359">
        <f t="shared" si="5"/>
        <v>494</v>
      </c>
      <c r="CA25" s="360">
        <f>DATE($Y$2+1,5,8)</f>
        <v>494</v>
      </c>
      <c r="CB25" s="361" t="s">
        <v>728</v>
      </c>
      <c r="CC25" s="563"/>
      <c r="CD25" s="563"/>
      <c r="CE25" s="563"/>
    </row>
    <row r="26" spans="1:83" ht="14.25" customHeight="1" x14ac:dyDescent="0.25">
      <c r="A26" s="13"/>
      <c r="B26" s="697" t="s">
        <v>857</v>
      </c>
      <c r="C26" s="249" t="str">
        <f t="array" ref="C26">IFERROR(INDEX($AM$20:$AP$119,MATCH(1,(C$8&gt;=$AO$20:$AO$119)*($AP$20:$AP$119&gt;=C$8)*($AM$20:$AM$119=$B$26),0),2),"")</f>
        <v/>
      </c>
      <c r="D26" s="249" t="str">
        <f t="array" ref="D26">IFERROR(INDEX($AM$20:$AP$119,MATCH(1,(D$8&gt;=$AO$20:$AO$119)*($AP$20:$AP$119&gt;=D$8)*($AM$20:$AM$119=$B$26),0),2),"")</f>
        <v/>
      </c>
      <c r="E26" s="249" t="str">
        <f t="array" ref="E26">IFERROR(INDEX($AM$20:$AP$119,MATCH(1,(E$8&gt;=$AO$20:$AO$119)*($AP$20:$AP$119&gt;=E$8)*($AM$20:$AM$119=$B$26),0),2),"")</f>
        <v/>
      </c>
      <c r="F26" s="249" t="str">
        <f t="array" ref="F26">IFERROR(INDEX($AM$20:$AP$119,MATCH(1,(F$8&gt;=$AO$20:$AO$119)*($AP$20:$AP$119&gt;=F$8)*($AM$20:$AM$119=$B$26),0),2),"")</f>
        <v/>
      </c>
      <c r="G26" s="249" t="str">
        <f t="array" ref="G26">IFERROR(INDEX($AM$20:$AP$119,MATCH(1,(G$8&gt;=$AO$20:$AO$119)*($AP$20:$AP$119&gt;=G$8)*($AM$20:$AM$119=$B$26),0),2),"")</f>
        <v/>
      </c>
      <c r="H26" s="249" t="str">
        <f t="array" ref="H26">IFERROR(INDEX($AM$20:$AP$119,MATCH(1,(H$8&gt;=$AO$20:$AO$119)*($AP$20:$AP$119&gt;=H$8)*($AM$20:$AM$119=$B$26),0),2),"")</f>
        <v/>
      </c>
      <c r="I26" s="249" t="str">
        <f t="array" ref="I26">IFERROR(INDEX($AM$20:$AP$119,MATCH(1,(I$8&gt;=$AO$20:$AO$119)*($AP$20:$AP$119&gt;=I$8)*($AM$20:$AM$119=$B$26),0),2),"")</f>
        <v/>
      </c>
      <c r="J26" s="249" t="str">
        <f t="array" ref="J26">IFERROR(INDEX($AM$20:$AP$119,MATCH(1,(J$8&gt;=$AO$20:$AO$119)*($AP$20:$AP$119&gt;=J$8)*($AM$20:$AM$119=$B$26),0),2),"")</f>
        <v/>
      </c>
      <c r="K26" s="249" t="str">
        <f t="array" ref="K26">IFERROR(INDEX($AM$20:$AP$119,MATCH(1,(K$8&gt;=$AO$20:$AO$119)*($AP$20:$AP$119&gt;=K$8)*($AM$20:$AM$119=$B$26),0),2),"")</f>
        <v/>
      </c>
      <c r="L26" s="249" t="str">
        <f t="array" ref="L26">IFERROR(INDEX($AM$20:$AP$119,MATCH(1,(L$8&gt;=$AO$20:$AO$119)*($AP$20:$AP$119&gt;=L$8)*($AM$20:$AM$119=$B$26),0),2),"")</f>
        <v/>
      </c>
      <c r="M26" s="249" t="str">
        <f t="array" ref="M26">IFERROR(INDEX($AM$20:$AP$119,MATCH(1,(M$8&gt;=$AO$20:$AO$119)*($AP$20:$AP$119&gt;=M$8)*($AM$20:$AM$119=$B$26),0),2),"")</f>
        <v/>
      </c>
      <c r="N26" s="249" t="str">
        <f t="array" ref="N26">IFERROR(INDEX($AM$20:$AP$119,MATCH(1,(N$8&gt;=$AO$20:$AO$119)*($AP$20:$AP$119&gt;=N$8)*($AM$20:$AM$119=$B$26),0),2),"")</f>
        <v/>
      </c>
      <c r="O26" s="249" t="str">
        <f t="array" ref="O26">IFERROR(INDEX($AM$20:$AP$119,MATCH(1,(O$8&gt;=$AO$20:$AO$119)*($AP$20:$AP$119&gt;=O$8)*($AM$20:$AM$119=$B$26),0),2),"")</f>
        <v/>
      </c>
      <c r="P26" s="249" t="str">
        <f t="array" ref="P26">IFERROR(INDEX($AM$20:$AP$119,MATCH(1,(P$8&gt;=$AO$20:$AO$119)*($AP$20:$AP$119&gt;=P$8)*($AM$20:$AM$119=$B$26),0),2),"")</f>
        <v/>
      </c>
      <c r="Q26" s="249" t="str">
        <f t="array" ref="Q26">IFERROR(INDEX($AM$20:$AP$119,MATCH(1,(Q$8&gt;=$AO$20:$AO$119)*($AP$20:$AP$119&gt;=Q$8)*($AM$20:$AM$119=$B$26),0),2),"")</f>
        <v/>
      </c>
      <c r="R26" s="249" t="str">
        <f t="array" ref="R26">IFERROR(INDEX($AM$20:$AP$119,MATCH(1,(R$8&gt;=$AO$20:$AO$119)*($AP$20:$AP$119&gt;=R$8)*($AM$20:$AM$119=$B$26),0),2),"")</f>
        <v/>
      </c>
      <c r="S26" s="249" t="str">
        <f t="array" ref="S26">IFERROR(INDEX($AM$20:$AP$119,MATCH(1,(S$8&gt;=$AO$20:$AO$119)*($AP$20:$AP$119&gt;=S$8)*($AM$20:$AM$119=$B$26),0),2),"")</f>
        <v/>
      </c>
      <c r="T26" s="249" t="str">
        <f t="array" ref="T26">IFERROR(INDEX($AM$20:$AP$119,MATCH(1,(T$8&gt;=$AO$20:$AO$119)*($AP$20:$AP$119&gt;=T$8)*($AM$20:$AM$119=$B$26),0),2),"")</f>
        <v/>
      </c>
      <c r="U26" s="249" t="str">
        <f t="array" ref="U26">IFERROR(INDEX($AM$20:$AP$119,MATCH(1,(U$8&gt;=$AO$20:$AO$119)*($AP$20:$AP$119&gt;=U$8)*($AM$20:$AM$119=$B$26),0),2),"")</f>
        <v/>
      </c>
      <c r="V26" s="249" t="str">
        <f t="array" ref="V26">IFERROR(INDEX($AM$20:$AP$119,MATCH(1,(V$8&gt;=$AO$20:$AO$119)*($AP$20:$AP$119&gt;=V$8)*($AM$20:$AM$119=$B$26),0),2),"")</f>
        <v>Cp</v>
      </c>
      <c r="W26" s="249" t="str">
        <f t="array" ref="W26">IFERROR(INDEX($AM$20:$AP$119,MATCH(1,(W$8&gt;=$AO$20:$AO$119)*($AP$20:$AP$119&gt;=W$8)*($AM$20:$AM$119=$B$26),0),2),"")</f>
        <v>Cp</v>
      </c>
      <c r="X26" s="249" t="str">
        <f t="array" ref="X26">IFERROR(INDEX($AM$20:$AP$119,MATCH(1,(X$8&gt;=$AO$20:$AO$119)*($AP$20:$AP$119&gt;=X$8)*($AM$20:$AM$119=$B$26),0),2),"")</f>
        <v>Cp</v>
      </c>
      <c r="Y26" s="249" t="str">
        <f t="array" ref="Y26">IFERROR(INDEX($AM$20:$AP$119,MATCH(1,(Y$8&gt;=$AO$20:$AO$119)*($AP$20:$AP$119&gt;=Y$8)*($AM$20:$AM$119=$B$26),0),2),"")</f>
        <v>Cp</v>
      </c>
      <c r="Z26" s="249" t="str">
        <f t="array" ref="Z26">IFERROR(INDEX($AM$20:$AP$119,MATCH(1,(Z$8&gt;=$AO$20:$AO$119)*($AP$20:$AP$119&gt;=Z$8)*($AM$20:$AM$119=$B$26),0),2),"")</f>
        <v>Cp</v>
      </c>
      <c r="AA26" s="249" t="str">
        <f t="array" ref="AA26">IFERROR(INDEX($AM$20:$AP$119,MATCH(1,(AA$8&gt;=$AO$20:$AO$119)*($AP$20:$AP$119&gt;=AA$8)*($AM$20:$AM$119=$B$26),0),2),"")</f>
        <v>Cp</v>
      </c>
      <c r="AB26" s="249" t="str">
        <f t="array" ref="AB26">IFERROR(INDEX($AM$20:$AP$119,MATCH(1,(AB$8&gt;=$AO$20:$AO$119)*($AP$20:$AP$119&gt;=AB$8)*($AM$20:$AM$119=$B$26),0),2),"")</f>
        <v>Cp</v>
      </c>
      <c r="AC26" s="249" t="str">
        <f t="array" ref="AC26">IFERROR(INDEX($AM$20:$AP$119,MATCH(1,(AC$8&gt;=$AO$20:$AO$119)*($AP$20:$AP$119&gt;=AC$8)*($AM$20:$AM$119=$B$26),0),2),"")</f>
        <v>Cp</v>
      </c>
      <c r="AD26" s="249" t="str">
        <f t="array" ref="AD26">IFERROR(INDEX($AM$20:$AP$119,MATCH(1,(AD$8&gt;=$AO$20:$AO$119)*($AP$20:$AP$119&gt;=AD$8)*($AM$20:$AM$119=$B$26),0),2),"")</f>
        <v>Cp</v>
      </c>
      <c r="AE26" s="249" t="str">
        <f t="array" ref="AE26">IFERROR(INDEX($AM$20:$AP$119,MATCH(1,(AE$8&gt;=$AO$20:$AO$119)*($AP$20:$AP$119&gt;=AE$8)*($AM$20:$AM$119=$B$26),0),2),"")</f>
        <v/>
      </c>
      <c r="AF26" s="249" t="str">
        <f t="array" ref="AF26">IFERROR(INDEX($AM$20:$AP$119,MATCH(1,(AF$8&gt;=$AO$20:$AO$119)*($AP$20:$AP$119&gt;=AF$8)*($AM$20:$AM$119=$B$26),0),2),"")</f>
        <v/>
      </c>
      <c r="AG26" s="249" t="str">
        <f t="array" ref="AG26">IFERROR(INDEX($AM$20:$AP$119,MATCH(1,(AG$8&gt;=$AO$20:$AO$119)*($AP$20:$AP$119&gt;=AG$8)*($AM$20:$AM$119=$B$26),0),2),"")</f>
        <v/>
      </c>
      <c r="AH26" s="256" t="str">
        <f>B26</f>
        <v>martine</v>
      </c>
      <c r="AI26" s="255">
        <f>COUNTIF(C26:AG26,$AI$10)</f>
        <v>0</v>
      </c>
      <c r="AJ26" s="13"/>
      <c r="AK26" s="696" t="s">
        <v>852</v>
      </c>
      <c r="AL26" s="13">
        <v>7</v>
      </c>
      <c r="AM26" s="697" t="s">
        <v>499</v>
      </c>
      <c r="AN26" s="633" t="s">
        <v>799</v>
      </c>
      <c r="AO26" s="33">
        <v>43891</v>
      </c>
      <c r="AP26" s="33">
        <v>43894</v>
      </c>
      <c r="AQ26" s="635">
        <f>Absences26810121424[[#This Row],[debut]]</f>
        <v>43891</v>
      </c>
      <c r="AR26" s="13"/>
      <c r="AS26" s="597" t="s">
        <v>813</v>
      </c>
      <c r="AT26" s="633" t="s">
        <v>799</v>
      </c>
      <c r="AU26" s="13"/>
      <c r="AV26" s="70"/>
      <c r="AW26" s="57"/>
      <c r="AX26" s="57"/>
      <c r="AY26" s="57"/>
      <c r="AZ26" s="54"/>
      <c r="BA26" s="54"/>
      <c r="BB26" s="54"/>
      <c r="BC26" s="55"/>
      <c r="BD26" s="56"/>
      <c r="BE26" s="56"/>
      <c r="BF26" s="56"/>
      <c r="BG26" s="56"/>
      <c r="BI26" s="290"/>
      <c r="BJ26" s="295"/>
      <c r="BK26" s="332"/>
      <c r="BL26" s="59"/>
      <c r="BM26" s="294"/>
      <c r="BN26" s="294"/>
      <c r="BO26" s="294"/>
      <c r="BP26" s="316"/>
      <c r="BQ26" s="333" t="s">
        <v>666</v>
      </c>
      <c r="BR26" s="334"/>
      <c r="BS26" s="335">
        <v>0</v>
      </c>
      <c r="BT26" s="336">
        <v>0</v>
      </c>
      <c r="BU26" s="337">
        <v>0</v>
      </c>
      <c r="BV26" s="338">
        <f>(BT26-BS26)-("00:30"*BU26)</f>
        <v>0</v>
      </c>
      <c r="BW26" s="331"/>
      <c r="BX26" s="308"/>
      <c r="BZ26" s="359">
        <f t="shared" si="5"/>
        <v>44329</v>
      </c>
      <c r="CA26" s="360">
        <f>CA22+39</f>
        <v>44329</v>
      </c>
      <c r="CB26" s="361" t="s">
        <v>729</v>
      </c>
      <c r="CC26" s="563"/>
      <c r="CD26" s="563"/>
      <c r="CE26" s="563"/>
    </row>
    <row r="27" spans="1:83" ht="16.5" customHeight="1" thickBot="1" x14ac:dyDescent="0.3">
      <c r="A27" s="13"/>
      <c r="B27" s="43">
        <f>COUNTA(C27:AG27)</f>
        <v>0</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706">
        <f>COUNTIF(C26:AG26,$AH$11)</f>
        <v>0</v>
      </c>
      <c r="AI27" s="708">
        <f>COUNTIF(C26:AG26,$AI$11)</f>
        <v>9</v>
      </c>
      <c r="AJ27" s="13"/>
      <c r="AK27" s="697" t="s">
        <v>857</v>
      </c>
      <c r="AL27" s="13">
        <v>8</v>
      </c>
      <c r="AM27" s="11" t="s">
        <v>5</v>
      </c>
      <c r="AN27" s="613" t="s">
        <v>362</v>
      </c>
      <c r="AO27" s="32">
        <v>43843</v>
      </c>
      <c r="AP27" s="32">
        <v>43844</v>
      </c>
      <c r="AQ27" s="635">
        <f>Absences26810121424[[#This Row],[debut]]</f>
        <v>43843</v>
      </c>
      <c r="AR27" s="13"/>
      <c r="AS27" s="608" t="s">
        <v>363</v>
      </c>
      <c r="AT27" s="613" t="s">
        <v>362</v>
      </c>
      <c r="AU27" s="13"/>
      <c r="AV27" s="94" t="s">
        <v>88</v>
      </c>
      <c r="AW27" s="50">
        <v>0.375</v>
      </c>
      <c r="AX27" s="50">
        <v>0.5625</v>
      </c>
      <c r="AY27" s="51">
        <v>1</v>
      </c>
      <c r="AZ27" s="52">
        <f>IF(AX27-AW27=0,0,(AX27-AW27)-(AY27*TIMEVALUE("00:30")))</f>
        <v>0.16666666666666666</v>
      </c>
      <c r="BA27" s="53" t="s">
        <v>67</v>
      </c>
      <c r="BB27" s="54"/>
      <c r="BC27" s="55"/>
      <c r="BD27" s="56"/>
      <c r="BE27" s="56"/>
      <c r="BF27" s="56"/>
      <c r="BG27" s="56"/>
      <c r="BI27" s="290"/>
      <c r="BJ27" s="339"/>
      <c r="BK27" s="339"/>
      <c r="BL27" s="339"/>
      <c r="BM27" s="315"/>
      <c r="BN27" s="292"/>
      <c r="BO27" s="292"/>
      <c r="BP27" s="316"/>
      <c r="BQ27" s="333" t="s">
        <v>666</v>
      </c>
      <c r="BR27" s="340" t="s">
        <v>667</v>
      </c>
      <c r="BS27" s="335">
        <v>0</v>
      </c>
      <c r="BT27" s="336">
        <v>0</v>
      </c>
      <c r="BU27" s="337">
        <v>0</v>
      </c>
      <c r="BV27" s="338">
        <f>(BT27-BS27)-("00:30"*BU27)</f>
        <v>0</v>
      </c>
      <c r="BW27" s="331"/>
      <c r="BX27" s="313"/>
      <c r="BZ27" s="359">
        <f t="shared" si="5"/>
        <v>44339</v>
      </c>
      <c r="CA27" s="360">
        <f>CA22+49</f>
        <v>44339</v>
      </c>
      <c r="CB27" s="361" t="s">
        <v>731</v>
      </c>
      <c r="CC27" s="563"/>
      <c r="CD27" s="563"/>
      <c r="CE27" s="563"/>
    </row>
    <row r="28" spans="1:83" ht="14.25" customHeight="1" x14ac:dyDescent="0.25">
      <c r="A28" s="13"/>
      <c r="B28" s="696" t="s">
        <v>858</v>
      </c>
      <c r="C28" s="249" t="str">
        <f t="array" ref="C28">IFERROR(INDEX($AM$20:$AP$119,MATCH(1,(C$8&gt;=$AO$20:$AO$119)*($AP$20:$AP$119&gt;=C$8)*($AM$20:$AM$119=$B$28),0),2),"")</f>
        <v/>
      </c>
      <c r="D28" s="249" t="str">
        <f t="array" ref="D28">IFERROR(INDEX($AM$20:$AP$119,MATCH(1,(D$8&gt;=$AO$20:$AO$119)*($AP$20:$AP$119&gt;=D$8)*($AM$20:$AM$119=$B$28),0),2),"")</f>
        <v/>
      </c>
      <c r="E28" s="249" t="str">
        <f t="array" ref="E28">IFERROR(INDEX($AM$20:$AP$119,MATCH(1,(E$8&gt;=$AO$20:$AO$119)*($AP$20:$AP$119&gt;=E$8)*($AM$20:$AM$119=$B$28),0),2),"")</f>
        <v/>
      </c>
      <c r="F28" s="249" t="str">
        <f t="array" ref="F28">IFERROR(INDEX($AM$20:$AP$119,MATCH(1,(F$8&gt;=$AO$20:$AO$119)*($AP$20:$AP$119&gt;=F$8)*($AM$20:$AM$119=$B$28),0),2),"")</f>
        <v/>
      </c>
      <c r="G28" s="249" t="str">
        <f t="array" ref="G28">IFERROR(INDEX($AM$20:$AP$119,MATCH(1,(G$8&gt;=$AO$20:$AO$119)*($AP$20:$AP$119&gt;=G$8)*($AM$20:$AM$119=$B$28),0),2),"")</f>
        <v/>
      </c>
      <c r="H28" s="249" t="str">
        <f t="array" ref="H28">IFERROR(INDEX($AM$20:$AP$119,MATCH(1,(H$8&gt;=$AO$20:$AO$119)*($AP$20:$AP$119&gt;=H$8)*($AM$20:$AM$119=$B$28),0),2),"")</f>
        <v/>
      </c>
      <c r="I28" s="249" t="str">
        <f t="array" ref="I28">IFERROR(INDEX($AM$20:$AP$119,MATCH(1,(I$8&gt;=$AO$20:$AO$119)*($AP$20:$AP$119&gt;=I$8)*($AM$20:$AM$119=$B$28),0),2),"")</f>
        <v/>
      </c>
      <c r="J28" s="249" t="str">
        <f t="array" ref="J28">IFERROR(INDEX($AM$20:$AP$119,MATCH(1,(J$8&gt;=$AO$20:$AO$119)*($AP$20:$AP$119&gt;=J$8)*($AM$20:$AM$119=$B$28),0),2),"")</f>
        <v/>
      </c>
      <c r="K28" s="249" t="str">
        <f t="array" ref="K28">IFERROR(INDEX($AM$20:$AP$119,MATCH(1,(K$8&gt;=$AO$20:$AO$119)*($AP$20:$AP$119&gt;=K$8)*($AM$20:$AM$119=$B$28),0),2),"")</f>
        <v/>
      </c>
      <c r="L28" s="249" t="str">
        <f t="array" ref="L28">IFERROR(INDEX($AM$20:$AP$119,MATCH(1,(L$8&gt;=$AO$20:$AO$119)*($AP$20:$AP$119&gt;=L$8)*($AM$20:$AM$119=$B$28),0),2),"")</f>
        <v/>
      </c>
      <c r="M28" s="249" t="str">
        <f t="array" ref="M28">IFERROR(INDEX($AM$20:$AP$119,MATCH(1,(M$8&gt;=$AO$20:$AO$119)*($AP$20:$AP$119&gt;=M$8)*($AM$20:$AM$119=$B$28),0),2),"")</f>
        <v/>
      </c>
      <c r="N28" s="249" t="str">
        <f t="array" ref="N28">IFERROR(INDEX($AM$20:$AP$119,MATCH(1,(N$8&gt;=$AO$20:$AO$119)*($AP$20:$AP$119&gt;=N$8)*($AM$20:$AM$119=$B$28),0),2),"")</f>
        <v/>
      </c>
      <c r="O28" s="249" t="str">
        <f t="array" ref="O28">IFERROR(INDEX($AM$20:$AP$119,MATCH(1,(O$8&gt;=$AO$20:$AO$119)*($AP$20:$AP$119&gt;=O$8)*($AM$20:$AM$119=$B$28),0),2),"")</f>
        <v>C</v>
      </c>
      <c r="P28" s="249" t="str">
        <f t="array" ref="P28">IFERROR(INDEX($AM$20:$AP$119,MATCH(1,(P$8&gt;=$AO$20:$AO$119)*($AP$20:$AP$119&gt;=P$8)*($AM$20:$AM$119=$B$28),0),2),"")</f>
        <v>C</v>
      </c>
      <c r="Q28" s="249" t="str">
        <f t="array" ref="Q28">IFERROR(INDEX($AM$20:$AP$119,MATCH(1,(Q$8&gt;=$AO$20:$AO$119)*($AP$20:$AP$119&gt;=Q$8)*($AM$20:$AM$119=$B$28),0),2),"")</f>
        <v>C</v>
      </c>
      <c r="R28" s="249" t="str">
        <f t="array" ref="R28">IFERROR(INDEX($AM$20:$AP$119,MATCH(1,(R$8&gt;=$AO$20:$AO$119)*($AP$20:$AP$119&gt;=R$8)*($AM$20:$AM$119=$B$28),0),2),"")</f>
        <v>C</v>
      </c>
      <c r="S28" s="249" t="str">
        <f t="array" ref="S28">IFERROR(INDEX($AM$20:$AP$119,MATCH(1,(S$8&gt;=$AO$20:$AO$119)*($AP$20:$AP$119&gt;=S$8)*($AM$20:$AM$119=$B$28),0),2),"")</f>
        <v/>
      </c>
      <c r="T28" s="249" t="str">
        <f t="array" ref="T28">IFERROR(INDEX($AM$20:$AP$119,MATCH(1,(T$8&gt;=$AO$20:$AO$119)*($AP$20:$AP$119&gt;=T$8)*($AM$20:$AM$119=$B$28),0),2),"")</f>
        <v/>
      </c>
      <c r="U28" s="249" t="str">
        <f t="array" ref="U28">IFERROR(INDEX($AM$20:$AP$119,MATCH(1,(U$8&gt;=$AO$20:$AO$119)*($AP$20:$AP$119&gt;=U$8)*($AM$20:$AM$119=$B$28),0),2),"")</f>
        <v/>
      </c>
      <c r="V28" s="249" t="str">
        <f t="array" ref="V28">IFERROR(INDEX($AM$20:$AP$119,MATCH(1,(V$8&gt;=$AO$20:$AO$119)*($AP$20:$AP$119&gt;=V$8)*($AM$20:$AM$119=$B$28),0),2),"")</f>
        <v/>
      </c>
      <c r="W28" s="249" t="str">
        <f t="array" ref="W28">IFERROR(INDEX($AM$20:$AP$119,MATCH(1,(W$8&gt;=$AO$20:$AO$119)*($AP$20:$AP$119&gt;=W$8)*($AM$20:$AM$119=$B$28),0),2),"")</f>
        <v/>
      </c>
      <c r="X28" s="249" t="str">
        <f t="array" ref="X28">IFERROR(INDEX($AM$20:$AP$119,MATCH(1,(X$8&gt;=$AO$20:$AO$119)*($AP$20:$AP$119&gt;=X$8)*($AM$20:$AM$119=$B$28),0),2),"")</f>
        <v/>
      </c>
      <c r="Y28" s="249" t="str">
        <f t="array" ref="Y28">IFERROR(INDEX($AM$20:$AP$119,MATCH(1,(Y$8&gt;=$AO$20:$AO$119)*($AP$20:$AP$119&gt;=Y$8)*($AM$20:$AM$119=$B$28),0),2),"")</f>
        <v/>
      </c>
      <c r="Z28" s="249" t="str">
        <f t="array" ref="Z28">IFERROR(INDEX($AM$20:$AP$119,MATCH(1,(Z$8&gt;=$AO$20:$AO$119)*($AP$20:$AP$119&gt;=Z$8)*($AM$20:$AM$119=$B$28),0),2),"")</f>
        <v/>
      </c>
      <c r="AA28" s="249" t="str">
        <f t="array" ref="AA28">IFERROR(INDEX($AM$20:$AP$119,MATCH(1,(AA$8&gt;=$AO$20:$AO$119)*($AP$20:$AP$119&gt;=AA$8)*($AM$20:$AM$119=$B$28),0),2),"")</f>
        <v/>
      </c>
      <c r="AB28" s="249" t="str">
        <f t="array" ref="AB28">IFERROR(INDEX($AM$20:$AP$119,MATCH(1,(AB$8&gt;=$AO$20:$AO$119)*($AP$20:$AP$119&gt;=AB$8)*($AM$20:$AM$119=$B$28),0),2),"")</f>
        <v/>
      </c>
      <c r="AC28" s="249" t="str">
        <f t="array" ref="AC28">IFERROR(INDEX($AM$20:$AP$119,MATCH(1,(AC$8&gt;=$AO$20:$AO$119)*($AP$20:$AP$119&gt;=AC$8)*($AM$20:$AM$119=$B$28),0),2),"")</f>
        <v/>
      </c>
      <c r="AD28" s="249" t="str">
        <f t="array" ref="AD28">IFERROR(INDEX($AM$20:$AP$119,MATCH(1,(AD$8&gt;=$AO$20:$AO$119)*($AP$20:$AP$119&gt;=AD$8)*($AM$20:$AM$119=$B$28),0),2),"")</f>
        <v/>
      </c>
      <c r="AE28" s="249" t="str">
        <f t="array" ref="AE28">IFERROR(INDEX($AM$20:$AP$119,MATCH(1,(AE$8&gt;=$AO$20:$AO$119)*($AP$20:$AP$119&gt;=AE$8)*($AM$20:$AM$119=$B$28),0),2),"")</f>
        <v/>
      </c>
      <c r="AF28" s="249" t="str">
        <f t="array" ref="AF28">IFERROR(INDEX($AM$20:$AP$119,MATCH(1,(AF$8&gt;=$AO$20:$AO$119)*($AP$20:$AP$119&gt;=AF$8)*($AM$20:$AM$119=$B$28),0),2),"")</f>
        <v/>
      </c>
      <c r="AG28" s="249" t="str">
        <f t="array" ref="AG28">IFERROR(INDEX($AM$20:$AP$119,MATCH(1,(AG$8&gt;=$AO$20:$AO$119)*($AP$20:$AP$119&gt;=AG$8)*($AM$20:$AM$119=$B$28),0),2),"")</f>
        <v/>
      </c>
      <c r="AH28" s="256" t="str">
        <f>B28</f>
        <v>maxime</v>
      </c>
      <c r="AI28" s="255">
        <f>COUNTIF(C28:AG28,$AI$10)</f>
        <v>0</v>
      </c>
      <c r="AJ28" s="13"/>
      <c r="AK28" s="696" t="s">
        <v>858</v>
      </c>
      <c r="AL28" s="13">
        <v>9</v>
      </c>
      <c r="AM28" s="11" t="s">
        <v>5</v>
      </c>
      <c r="AN28" s="630" t="s">
        <v>662</v>
      </c>
      <c r="AO28" s="33">
        <v>43903</v>
      </c>
      <c r="AP28" s="33">
        <v>43919</v>
      </c>
      <c r="AQ28" s="635">
        <f>Absences26810121424[[#This Row],[debut]]</f>
        <v>43903</v>
      </c>
      <c r="AR28" s="13"/>
      <c r="AU28" s="13"/>
      <c r="AV28" s="70"/>
      <c r="AW28" s="57"/>
      <c r="AX28" s="57"/>
      <c r="AY28" s="57"/>
      <c r="AZ28" s="54"/>
      <c r="BA28" s="54"/>
      <c r="BB28" s="54"/>
      <c r="BC28" s="55"/>
      <c r="BD28" s="56"/>
      <c r="BE28" s="56"/>
      <c r="BF28" s="56"/>
      <c r="BG28" s="56"/>
      <c r="BI28" s="290"/>
      <c r="BJ28" s="351" t="s">
        <v>538</v>
      </c>
      <c r="BK28" s="315" t="s">
        <v>539</v>
      </c>
      <c r="BL28" s="339"/>
      <c r="BM28" s="324"/>
      <c r="BN28" s="292"/>
      <c r="BO28" s="292"/>
      <c r="BP28" s="316"/>
      <c r="BQ28" s="333" t="s">
        <v>666</v>
      </c>
      <c r="BR28" s="340">
        <v>6</v>
      </c>
      <c r="BS28" s="335">
        <v>0.29166666666666669</v>
      </c>
      <c r="BT28" s="336">
        <v>0.60416666666666663</v>
      </c>
      <c r="BU28" s="337">
        <v>1</v>
      </c>
      <c r="BV28" s="338">
        <f>(BT28-BS28)-("00:30"*BU28)</f>
        <v>0.29166666666666663</v>
      </c>
      <c r="BW28" s="331"/>
      <c r="BX28" s="313"/>
      <c r="BZ28" s="359">
        <f t="shared" si="5"/>
        <v>44340</v>
      </c>
      <c r="CA28" s="360">
        <f>CA27+1</f>
        <v>44340</v>
      </c>
      <c r="CB28" s="361" t="s">
        <v>732</v>
      </c>
      <c r="CC28" s="563"/>
      <c r="CD28" s="563"/>
      <c r="CE28" s="563"/>
    </row>
    <row r="29" spans="1:83" ht="16.5" customHeight="1" thickBot="1" x14ac:dyDescent="0.3">
      <c r="A29" s="13"/>
      <c r="B29" s="43">
        <f>COUNTA(C29:AG29)</f>
        <v>0</v>
      </c>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706">
        <f>COUNTIF(C28:AG28,$AH$11)</f>
        <v>0</v>
      </c>
      <c r="AI29" s="708">
        <f>COUNTIF(C28:AG28,$AI$11)</f>
        <v>0</v>
      </c>
      <c r="AJ29" s="13"/>
      <c r="AK29" s="697" t="s">
        <v>851</v>
      </c>
      <c r="AL29" s="13">
        <v>10</v>
      </c>
      <c r="AM29" s="697" t="s">
        <v>857</v>
      </c>
      <c r="AN29" s="631" t="s">
        <v>800</v>
      </c>
      <c r="AO29" s="31">
        <v>43850</v>
      </c>
      <c r="AP29" s="31">
        <v>43858</v>
      </c>
      <c r="AQ29" s="635">
        <f>Absences26810121424[[#This Row],[debut]]</f>
        <v>43850</v>
      </c>
      <c r="AR29" s="13"/>
      <c r="AU29" s="13"/>
      <c r="AV29" s="94" t="s">
        <v>89</v>
      </c>
      <c r="AW29" s="50">
        <v>0.33333333333333331</v>
      </c>
      <c r="AX29" s="50">
        <v>0.64583333333333337</v>
      </c>
      <c r="AY29" s="51">
        <v>1</v>
      </c>
      <c r="AZ29" s="52">
        <f>IF(AX29-AW29=0,0,(AX29-AW29)-(AY29*TIMEVALUE("00:30")))</f>
        <v>0.29166666666666674</v>
      </c>
      <c r="BA29" s="53" t="s">
        <v>127</v>
      </c>
      <c r="BB29" s="54"/>
      <c r="BC29" s="55"/>
      <c r="BD29" s="56"/>
      <c r="BE29" s="56"/>
      <c r="BF29" s="56"/>
      <c r="BG29" s="56"/>
      <c r="BI29" s="290"/>
      <c r="BJ29" s="351" t="s">
        <v>540</v>
      </c>
      <c r="BK29" s="315" t="s">
        <v>541</v>
      </c>
      <c r="BL29" s="339"/>
      <c r="BM29" s="315"/>
      <c r="BN29" s="339"/>
      <c r="BO29" s="339"/>
      <c r="BP29" s="316"/>
      <c r="BQ29" s="333" t="s">
        <v>553</v>
      </c>
      <c r="BR29" s="340">
        <v>10</v>
      </c>
      <c r="BS29" s="335">
        <v>0</v>
      </c>
      <c r="BT29" s="336">
        <v>0</v>
      </c>
      <c r="BU29" s="337">
        <v>0</v>
      </c>
      <c r="BV29" s="338">
        <f>(BT29-BS29)-("00:30"*BU29)</f>
        <v>0</v>
      </c>
      <c r="BW29" s="331"/>
      <c r="BX29" s="308"/>
      <c r="BZ29" s="359">
        <f t="shared" si="5"/>
        <v>44391</v>
      </c>
      <c r="CA29" s="360">
        <f>DATE(BZ4+1,7,14)</f>
        <v>44391</v>
      </c>
      <c r="CB29" s="361" t="s">
        <v>733</v>
      </c>
      <c r="CC29" s="563"/>
      <c r="CD29" s="563"/>
      <c r="CE29" s="563"/>
    </row>
    <row r="30" spans="1:83" ht="14.25" customHeight="1" x14ac:dyDescent="0.25">
      <c r="A30" s="13"/>
      <c r="B30" s="697" t="s">
        <v>851</v>
      </c>
      <c r="C30" s="249" t="str">
        <f t="array" ref="C30">IFERROR(INDEX($AM$20:$AP$119,MATCH(1,(C$8&gt;=$AO$20:$AO$119)*($AP$20:$AP$119&gt;=C$8)*($AM$20:$AM$119=$B$30),0),2),"")</f>
        <v/>
      </c>
      <c r="D30" s="249" t="str">
        <f t="array" ref="D30">IFERROR(INDEX($AM$20:$AP$119,MATCH(1,(D$8&gt;=$AO$20:$AO$119)*($AP$20:$AP$119&gt;=D$8)*($AM$20:$AM$119=$B$30),0),2),"")</f>
        <v/>
      </c>
      <c r="E30" s="249" t="str">
        <f t="array" ref="E30">IFERROR(INDEX($AM$20:$AP$119,MATCH(1,(E$8&gt;=$AO$20:$AO$119)*($AP$20:$AP$119&gt;=E$8)*($AM$20:$AM$119=$B$30),0),2),"")</f>
        <v/>
      </c>
      <c r="F30" s="249" t="str">
        <f t="array" ref="F30">IFERROR(INDEX($AM$20:$AP$119,MATCH(1,(F$8&gt;=$AO$20:$AO$119)*($AP$20:$AP$119&gt;=F$8)*($AM$20:$AM$119=$B$30),0),2),"")</f>
        <v/>
      </c>
      <c r="G30" s="249" t="str">
        <f t="array" ref="G30">IFERROR(INDEX($AM$20:$AP$119,MATCH(1,(G$8&gt;=$AO$20:$AO$119)*($AP$20:$AP$119&gt;=G$8)*($AM$20:$AM$119=$B$30),0),2),"")</f>
        <v/>
      </c>
      <c r="H30" s="249" t="str">
        <f t="array" ref="H30">IFERROR(INDEX($AM$20:$AP$119,MATCH(1,(H$8&gt;=$AO$20:$AO$119)*($AP$20:$AP$119&gt;=H$8)*($AM$20:$AM$119=$B$30),0),2),"")</f>
        <v/>
      </c>
      <c r="I30" s="249" t="str">
        <f t="array" ref="I30">IFERROR(INDEX($AM$20:$AP$119,MATCH(1,(I$8&gt;=$AO$20:$AO$119)*($AP$20:$AP$119&gt;=I$8)*($AM$20:$AM$119=$B$30),0),2),"")</f>
        <v/>
      </c>
      <c r="J30" s="249" t="str">
        <f t="array" ref="J30">IFERROR(INDEX($AM$20:$AP$119,MATCH(1,(J$8&gt;=$AO$20:$AO$119)*($AP$20:$AP$119&gt;=J$8)*($AM$20:$AM$119=$B$30),0),2),"")</f>
        <v/>
      </c>
      <c r="K30" s="249" t="str">
        <f t="array" ref="K30">IFERROR(INDEX($AM$20:$AP$119,MATCH(1,(K$8&gt;=$AO$20:$AO$119)*($AP$20:$AP$119&gt;=K$8)*($AM$20:$AM$119=$B$30),0),2),"")</f>
        <v/>
      </c>
      <c r="L30" s="249" t="str">
        <f t="array" ref="L30">IFERROR(INDEX($AM$20:$AP$119,MATCH(1,(L$8&gt;=$AO$20:$AO$119)*($AP$20:$AP$119&gt;=L$8)*($AM$20:$AM$119=$B$30),0),2),"")</f>
        <v/>
      </c>
      <c r="M30" s="249" t="str">
        <f t="array" ref="M30">IFERROR(INDEX($AM$20:$AP$119,MATCH(1,(M$8&gt;=$AO$20:$AO$119)*($AP$20:$AP$119&gt;=M$8)*($AM$20:$AM$119=$B$30),0),2),"")</f>
        <v/>
      </c>
      <c r="N30" s="249" t="str">
        <f t="array" ref="N30">IFERROR(INDEX($AM$20:$AP$119,MATCH(1,(N$8&gt;=$AO$20:$AO$119)*($AP$20:$AP$119&gt;=N$8)*($AM$20:$AM$119=$B$30),0),2),"")</f>
        <v/>
      </c>
      <c r="O30" s="249" t="str">
        <f t="array" ref="O30">IFERROR(INDEX($AM$20:$AP$119,MATCH(1,(O$8&gt;=$AO$20:$AO$119)*($AP$20:$AP$119&gt;=O$8)*($AM$20:$AM$119=$B$30),0),2),"")</f>
        <v/>
      </c>
      <c r="P30" s="249" t="str">
        <f t="array" ref="P30">IFERROR(INDEX($AM$20:$AP$119,MATCH(1,(P$8&gt;=$AO$20:$AO$119)*($AP$20:$AP$119&gt;=P$8)*($AM$20:$AM$119=$B$30),0),2),"")</f>
        <v/>
      </c>
      <c r="Q30" s="249" t="str">
        <f t="array" ref="Q30">IFERROR(INDEX($AM$20:$AP$119,MATCH(1,(Q$8&gt;=$AO$20:$AO$119)*($AP$20:$AP$119&gt;=Q$8)*($AM$20:$AM$119=$B$30),0),2),"")</f>
        <v/>
      </c>
      <c r="R30" s="249" t="str">
        <f t="array" ref="R30">IFERROR(INDEX($AM$20:$AP$119,MATCH(1,(R$8&gt;=$AO$20:$AO$119)*($AP$20:$AP$119&gt;=R$8)*($AM$20:$AM$119=$B$30),0),2),"")</f>
        <v/>
      </c>
      <c r="S30" s="249" t="str">
        <f t="array" ref="S30">IFERROR(INDEX($AM$20:$AP$119,MATCH(1,(S$8&gt;=$AO$20:$AO$119)*($AP$20:$AP$119&gt;=S$8)*($AM$20:$AM$119=$B$30),0),2),"")</f>
        <v/>
      </c>
      <c r="T30" s="249" t="str">
        <f t="array" ref="T30">IFERROR(INDEX($AM$20:$AP$119,MATCH(1,(T$8&gt;=$AO$20:$AO$119)*($AP$20:$AP$119&gt;=T$8)*($AM$20:$AM$119=$B$30),0),2),"")</f>
        <v/>
      </c>
      <c r="U30" s="249" t="str">
        <f t="array" ref="U30">IFERROR(INDEX($AM$20:$AP$119,MATCH(1,(U$8&gt;=$AO$20:$AO$119)*($AP$20:$AP$119&gt;=U$8)*($AM$20:$AM$119=$B$30),0),2),"")</f>
        <v/>
      </c>
      <c r="V30" s="249" t="str">
        <f t="array" ref="V30">IFERROR(INDEX($AM$20:$AP$119,MATCH(1,(V$8&gt;=$AO$20:$AO$119)*($AP$20:$AP$119&gt;=V$8)*($AM$20:$AM$119=$B$30),0),2),"")</f>
        <v/>
      </c>
      <c r="W30" s="249" t="str">
        <f t="array" ref="W30">IFERROR(INDEX($AM$20:$AP$119,MATCH(1,(W$8&gt;=$AO$20:$AO$119)*($AP$20:$AP$119&gt;=W$8)*($AM$20:$AM$119=$B$30),0),2),"")</f>
        <v/>
      </c>
      <c r="X30" s="249" t="str">
        <f t="array" ref="X30">IFERROR(INDEX($AM$20:$AP$119,MATCH(1,(X$8&gt;=$AO$20:$AO$119)*($AP$20:$AP$119&gt;=X$8)*($AM$20:$AM$119=$B$30),0),2),"")</f>
        <v/>
      </c>
      <c r="Y30" s="249" t="str">
        <f t="array" ref="Y30">IFERROR(INDEX($AM$20:$AP$119,MATCH(1,(Y$8&gt;=$AO$20:$AO$119)*($AP$20:$AP$119&gt;=Y$8)*($AM$20:$AM$119=$B$30),0),2),"")</f>
        <v/>
      </c>
      <c r="Z30" s="249" t="str">
        <f t="array" ref="Z30">IFERROR(INDEX($AM$20:$AP$119,MATCH(1,(Z$8&gt;=$AO$20:$AO$119)*($AP$20:$AP$119&gt;=Z$8)*($AM$20:$AM$119=$B$30),0),2),"")</f>
        <v/>
      </c>
      <c r="AA30" s="249" t="str">
        <f t="array" ref="AA30">IFERROR(INDEX($AM$20:$AP$119,MATCH(1,(AA$8&gt;=$AO$20:$AO$119)*($AP$20:$AP$119&gt;=AA$8)*($AM$20:$AM$119=$B$30),0),2),"")</f>
        <v/>
      </c>
      <c r="AB30" s="249" t="str">
        <f t="array" ref="AB30">IFERROR(INDEX($AM$20:$AP$119,MATCH(1,(AB$8&gt;=$AO$20:$AO$119)*($AP$20:$AP$119&gt;=AB$8)*($AM$20:$AM$119=$B$30),0),2),"")</f>
        <v/>
      </c>
      <c r="AC30" s="249" t="str">
        <f t="array" ref="AC30">IFERROR(INDEX($AM$20:$AP$119,MATCH(1,(AC$8&gt;=$AO$20:$AO$119)*($AP$20:$AP$119&gt;=AC$8)*($AM$20:$AM$119=$B$30),0),2),"")</f>
        <v/>
      </c>
      <c r="AD30" s="249" t="str">
        <f t="array" ref="AD30">IFERROR(INDEX($AM$20:$AP$119,MATCH(1,(AD$8&gt;=$AO$20:$AO$119)*($AP$20:$AP$119&gt;=AD$8)*($AM$20:$AM$119=$B$30),0),2),"")</f>
        <v/>
      </c>
      <c r="AE30" s="249" t="str">
        <f t="array" ref="AE30">IFERROR(INDEX($AM$20:$AP$119,MATCH(1,(AE$8&gt;=$AO$20:$AO$119)*($AP$20:$AP$119&gt;=AE$8)*($AM$20:$AM$119=$B$30),0),2),"")</f>
        <v/>
      </c>
      <c r="AF30" s="249" t="str">
        <f t="array" ref="AF30">IFERROR(INDEX($AM$20:$AP$119,MATCH(1,(AF$8&gt;=$AO$20:$AO$119)*($AP$20:$AP$119&gt;=AF$8)*($AM$20:$AM$119=$B$30),0),2),"")</f>
        <v/>
      </c>
      <c r="AG30" s="249" t="str">
        <f t="array" ref="AG30">IFERROR(INDEX($AM$20:$AP$119,MATCH(1,(AG$8&gt;=$AO$20:$AO$119)*($AP$20:$AP$119&gt;=AG$8)*($AM$20:$AM$119=$B$30),0),2),"")</f>
        <v/>
      </c>
      <c r="AH30" s="256" t="str">
        <f>B30</f>
        <v>nicolas</v>
      </c>
      <c r="AI30" s="255">
        <f>COUNTIF(C30:AG30,$AI$10)</f>
        <v>0</v>
      </c>
      <c r="AJ30" s="13"/>
      <c r="AK30" s="696" t="s">
        <v>853</v>
      </c>
      <c r="AL30" s="13">
        <v>11</v>
      </c>
      <c r="AM30" s="696" t="s">
        <v>858</v>
      </c>
      <c r="AN30" s="632" t="s">
        <v>7</v>
      </c>
      <c r="AO30" s="31">
        <v>43843</v>
      </c>
      <c r="AP30" s="31">
        <v>43846</v>
      </c>
      <c r="AQ30" s="635">
        <f>Absences26810121424[[#This Row],[debut]]</f>
        <v>43843</v>
      </c>
      <c r="AR30" s="13"/>
      <c r="AU30" s="13"/>
      <c r="AV30" s="70"/>
      <c r="AW30" s="57"/>
      <c r="AX30" s="57"/>
      <c r="AY30" s="57"/>
      <c r="AZ30" s="54"/>
      <c r="BA30" s="54"/>
      <c r="BB30" s="54"/>
      <c r="BC30" s="55"/>
      <c r="BD30" s="56"/>
      <c r="BE30" s="56"/>
      <c r="BF30" s="56"/>
      <c r="BG30" s="56"/>
      <c r="BI30" s="290"/>
      <c r="BJ30" s="352" t="s">
        <v>544</v>
      </c>
      <c r="BK30" s="315" t="s">
        <v>545</v>
      </c>
      <c r="BL30" s="292"/>
      <c r="BM30" s="292"/>
      <c r="BN30" s="292"/>
      <c r="BO30" s="294"/>
      <c r="BP30" s="316"/>
      <c r="BQ30" s="333" t="s">
        <v>668</v>
      </c>
      <c r="BR30" s="340">
        <v>13</v>
      </c>
      <c r="BS30" s="335">
        <v>0.29166666666666669</v>
      </c>
      <c r="BT30" s="336">
        <v>0.625</v>
      </c>
      <c r="BU30" s="337">
        <v>1</v>
      </c>
      <c r="BV30" s="338">
        <f t="shared" ref="BV30:BV42" si="6">(BT30-BS30)-("00:30"*BU30)</f>
        <v>0.3125</v>
      </c>
      <c r="BW30" s="331"/>
      <c r="BX30" s="313"/>
      <c r="BZ30" s="359">
        <f t="shared" si="5"/>
        <v>44423</v>
      </c>
      <c r="CA30" s="360">
        <f>DATE(BZ4+1,8,15)</f>
        <v>44423</v>
      </c>
      <c r="CB30" s="361" t="s">
        <v>586</v>
      </c>
      <c r="CC30" s="563"/>
      <c r="CD30" s="563"/>
      <c r="CE30" s="563"/>
    </row>
    <row r="31" spans="1:83" ht="16.5" customHeight="1" thickBot="1" x14ac:dyDescent="0.3">
      <c r="A31" s="13"/>
      <c r="B31" s="43">
        <f>COUNTA(C31:AG31)</f>
        <v>0</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706">
        <f>COUNTIF(C30:AG30,$AH$11)</f>
        <v>0</v>
      </c>
      <c r="AI31" s="708">
        <f>COUNTIF(C30:AG30,$AI$11)</f>
        <v>0</v>
      </c>
      <c r="AJ31" s="13"/>
      <c r="AK31" s="697" t="s">
        <v>848</v>
      </c>
      <c r="AL31" s="13">
        <v>12</v>
      </c>
      <c r="AM31" s="11" t="s">
        <v>5</v>
      </c>
      <c r="AN31" s="628" t="s">
        <v>8</v>
      </c>
      <c r="AO31" s="31">
        <v>43905</v>
      </c>
      <c r="AP31" s="31">
        <v>43908</v>
      </c>
      <c r="AQ31" s="635">
        <f>Absences26810121424[[#This Row],[debut]]</f>
        <v>43905</v>
      </c>
      <c r="AR31" s="13"/>
      <c r="AU31" s="13"/>
      <c r="AV31" s="94" t="s">
        <v>90</v>
      </c>
      <c r="AW31" s="50">
        <v>0.29166666666666669</v>
      </c>
      <c r="AX31" s="50">
        <v>0.64583333333333337</v>
      </c>
      <c r="AY31" s="51">
        <v>1</v>
      </c>
      <c r="AZ31" s="52">
        <f>IF(AX31-AW31=0,0,(AX31-AW31)-(AY31*TIMEVALUE("00:30")))</f>
        <v>0.33333333333333337</v>
      </c>
      <c r="BA31" s="53" t="s">
        <v>128</v>
      </c>
      <c r="BB31" s="54"/>
      <c r="BC31" s="55"/>
      <c r="BD31" s="56"/>
      <c r="BE31" s="56"/>
      <c r="BF31" s="56"/>
      <c r="BG31" s="56"/>
      <c r="BI31" s="290"/>
      <c r="BJ31" s="351" t="s">
        <v>548</v>
      </c>
      <c r="BK31" s="315" t="s">
        <v>549</v>
      </c>
      <c r="BL31" s="292"/>
      <c r="BM31" s="292"/>
      <c r="BN31" s="292"/>
      <c r="BO31" s="294"/>
      <c r="BP31" s="316"/>
      <c r="BQ31" s="333" t="s">
        <v>669</v>
      </c>
      <c r="BR31" s="341">
        <v>13</v>
      </c>
      <c r="BS31" s="342">
        <v>0.5625</v>
      </c>
      <c r="BT31" s="343">
        <v>0.60416666666666663</v>
      </c>
      <c r="BU31" s="344">
        <v>0</v>
      </c>
      <c r="BV31" s="345">
        <f t="shared" si="6"/>
        <v>4.166666666666663E-2</v>
      </c>
      <c r="BW31" s="331"/>
      <c r="BX31" s="313"/>
      <c r="BZ31" s="359">
        <f t="shared" si="5"/>
        <v>44501</v>
      </c>
      <c r="CA31" s="360">
        <f>DATE(BZ4+1,11,1)</f>
        <v>44501</v>
      </c>
      <c r="CB31" s="361" t="s">
        <v>735</v>
      </c>
      <c r="CC31" s="563"/>
      <c r="CD31" s="563"/>
      <c r="CE31" s="563"/>
    </row>
    <row r="32" spans="1:83" ht="14.25" customHeight="1" x14ac:dyDescent="0.25">
      <c r="A32" s="13"/>
      <c r="B32" s="696" t="s">
        <v>853</v>
      </c>
      <c r="C32" s="249" t="str">
        <f t="array" ref="C32">IFERROR(INDEX($AM$20:$AP$119,MATCH(1,(C$8&gt;=$AO$20:$AO$119)*($AP$20:$AP$119&gt;=C$8)*($AM$20:$AM$119=$B$32),0),2),"")</f>
        <v/>
      </c>
      <c r="D32" s="249" t="str">
        <f t="array" ref="D32">IFERROR(INDEX($AM$20:$AP$119,MATCH(1,(D$8&gt;=$AO$20:$AO$119)*($AP$20:$AP$119&gt;=D$8)*($AM$20:$AM$119=$B$32),0),2),"")</f>
        <v/>
      </c>
      <c r="E32" s="249" t="str">
        <f t="array" ref="E32">IFERROR(INDEX($AM$20:$AP$119,MATCH(1,(E$8&gt;=$AO$20:$AO$119)*($AP$20:$AP$119&gt;=E$8)*($AM$20:$AM$119=$B$32),0),2),"")</f>
        <v/>
      </c>
      <c r="F32" s="249" t="str">
        <f t="array" ref="F32">IFERROR(INDEX($AM$20:$AP$119,MATCH(1,(F$8&gt;=$AO$20:$AO$119)*($AP$20:$AP$119&gt;=F$8)*($AM$20:$AM$119=$B$32),0),2),"")</f>
        <v/>
      </c>
      <c r="G32" s="249" t="str">
        <f t="array" ref="G32">IFERROR(INDEX($AM$20:$AP$119,MATCH(1,(G$8&gt;=$AO$20:$AO$119)*($AP$20:$AP$119&gt;=G$8)*($AM$20:$AM$119=$B$32),0),2),"")</f>
        <v/>
      </c>
      <c r="H32" s="249" t="str">
        <f t="array" ref="H32">IFERROR(INDEX($AM$20:$AP$119,MATCH(1,(H$8&gt;=$AO$20:$AO$119)*($AP$20:$AP$119&gt;=H$8)*($AM$20:$AM$119=$B$32),0),2),"")</f>
        <v/>
      </c>
      <c r="I32" s="249" t="str">
        <f t="array" ref="I32">IFERROR(INDEX($AM$20:$AP$119,MATCH(1,(I$8&gt;=$AO$20:$AO$119)*($AP$20:$AP$119&gt;=I$8)*($AM$20:$AM$119=$B$32),0),2),"")</f>
        <v>M</v>
      </c>
      <c r="J32" s="249" t="str">
        <f t="array" ref="J32">IFERROR(INDEX($AM$20:$AP$119,MATCH(1,(J$8&gt;=$AO$20:$AO$119)*($AP$20:$AP$119&gt;=J$8)*($AM$20:$AM$119=$B$32),0),2),"")</f>
        <v>M</v>
      </c>
      <c r="K32" s="249" t="str">
        <f t="array" ref="K32">IFERROR(INDEX($AM$20:$AP$119,MATCH(1,(K$8&gt;=$AO$20:$AO$119)*($AP$20:$AP$119&gt;=K$8)*($AM$20:$AM$119=$B$32),0),2),"")</f>
        <v>M</v>
      </c>
      <c r="L32" s="249" t="str">
        <f t="array" ref="L32">IFERROR(INDEX($AM$20:$AP$119,MATCH(1,(L$8&gt;=$AO$20:$AO$119)*($AP$20:$AP$119&gt;=L$8)*($AM$20:$AM$119=$B$32),0),2),"")</f>
        <v>M</v>
      </c>
      <c r="M32" s="249" t="str">
        <f t="array" ref="M32">IFERROR(INDEX($AM$20:$AP$119,MATCH(1,(M$8&gt;=$AO$20:$AO$119)*($AP$20:$AP$119&gt;=M$8)*($AM$20:$AM$119=$B$32),0),2),"")</f>
        <v>M</v>
      </c>
      <c r="N32" s="249" t="str">
        <f t="array" ref="N32">IFERROR(INDEX($AM$20:$AP$119,MATCH(1,(N$8&gt;=$AO$20:$AO$119)*($AP$20:$AP$119&gt;=N$8)*($AM$20:$AM$119=$B$32),0),2),"")</f>
        <v>M</v>
      </c>
      <c r="O32" s="249" t="str">
        <f t="array" ref="O32">IFERROR(INDEX($AM$20:$AP$119,MATCH(1,(O$8&gt;=$AO$20:$AO$119)*($AP$20:$AP$119&gt;=O$8)*($AM$20:$AM$119=$B$32),0),2),"")</f>
        <v>M</v>
      </c>
      <c r="P32" s="249" t="str">
        <f t="array" ref="P32">IFERROR(INDEX($AM$20:$AP$119,MATCH(1,(P$8&gt;=$AO$20:$AO$119)*($AP$20:$AP$119&gt;=P$8)*($AM$20:$AM$119=$B$32),0),2),"")</f>
        <v>M</v>
      </c>
      <c r="Q32" s="249" t="str">
        <f t="array" ref="Q32">IFERROR(INDEX($AM$20:$AP$119,MATCH(1,(Q$8&gt;=$AO$20:$AO$119)*($AP$20:$AP$119&gt;=Q$8)*($AM$20:$AM$119=$B$32),0),2),"")</f>
        <v>M</v>
      </c>
      <c r="R32" s="249" t="str">
        <f t="array" ref="R32">IFERROR(INDEX($AM$20:$AP$119,MATCH(1,(R$8&gt;=$AO$20:$AO$119)*($AP$20:$AP$119&gt;=R$8)*($AM$20:$AM$119=$B$32),0),2),"")</f>
        <v>M</v>
      </c>
      <c r="S32" s="249" t="str">
        <f t="array" ref="S32">IFERROR(INDEX($AM$20:$AP$119,MATCH(1,(S$8&gt;=$AO$20:$AO$119)*($AP$20:$AP$119&gt;=S$8)*($AM$20:$AM$119=$B$32),0),2),"")</f>
        <v>M</v>
      </c>
      <c r="T32" s="249" t="str">
        <f t="array" ref="T32">IFERROR(INDEX($AM$20:$AP$119,MATCH(1,(T$8&gt;=$AO$20:$AO$119)*($AP$20:$AP$119&gt;=T$8)*($AM$20:$AM$119=$B$32),0),2),"")</f>
        <v/>
      </c>
      <c r="U32" s="249" t="str">
        <f t="array" ref="U32">IFERROR(INDEX($AM$20:$AP$119,MATCH(1,(U$8&gt;=$AO$20:$AO$119)*($AP$20:$AP$119&gt;=U$8)*($AM$20:$AM$119=$B$32),0),2),"")</f>
        <v/>
      </c>
      <c r="V32" s="249" t="str">
        <f t="array" ref="V32">IFERROR(INDEX($AM$20:$AP$119,MATCH(1,(V$8&gt;=$AO$20:$AO$119)*($AP$20:$AP$119&gt;=V$8)*($AM$20:$AM$119=$B$32),0),2),"")</f>
        <v/>
      </c>
      <c r="W32" s="249" t="str">
        <f t="array" ref="W32">IFERROR(INDEX($AM$20:$AP$119,MATCH(1,(W$8&gt;=$AO$20:$AO$119)*($AP$20:$AP$119&gt;=W$8)*($AM$20:$AM$119=$B$32),0),2),"")</f>
        <v/>
      </c>
      <c r="X32" s="249" t="str">
        <f t="array" ref="X32">IFERROR(INDEX($AM$20:$AP$119,MATCH(1,(X$8&gt;=$AO$20:$AO$119)*($AP$20:$AP$119&gt;=X$8)*($AM$20:$AM$119=$B$32),0),2),"")</f>
        <v/>
      </c>
      <c r="Y32" s="249" t="str">
        <f t="array" ref="Y32">IFERROR(INDEX($AM$20:$AP$119,MATCH(1,(Y$8&gt;=$AO$20:$AO$119)*($AP$20:$AP$119&gt;=Y$8)*($AM$20:$AM$119=$B$32),0),2),"")</f>
        <v/>
      </c>
      <c r="Z32" s="249" t="str">
        <f t="array" ref="Z32">IFERROR(INDEX($AM$20:$AP$119,MATCH(1,(Z$8&gt;=$AO$20:$AO$119)*($AP$20:$AP$119&gt;=Z$8)*($AM$20:$AM$119=$B$32),0),2),"")</f>
        <v/>
      </c>
      <c r="AA32" s="249" t="str">
        <f t="array" ref="AA32">IFERROR(INDEX($AM$20:$AP$119,MATCH(1,(AA$8&gt;=$AO$20:$AO$119)*($AP$20:$AP$119&gt;=AA$8)*($AM$20:$AM$119=$B$32),0),2),"")</f>
        <v/>
      </c>
      <c r="AB32" s="249" t="str">
        <f t="array" ref="AB32">IFERROR(INDEX($AM$20:$AP$119,MATCH(1,(AB$8&gt;=$AO$20:$AO$119)*($AP$20:$AP$119&gt;=AB$8)*($AM$20:$AM$119=$B$32),0),2),"")</f>
        <v/>
      </c>
      <c r="AC32" s="249" t="str">
        <f t="array" ref="AC32">IFERROR(INDEX($AM$20:$AP$119,MATCH(1,(AC$8&gt;=$AO$20:$AO$119)*($AP$20:$AP$119&gt;=AC$8)*($AM$20:$AM$119=$B$32),0),2),"")</f>
        <v/>
      </c>
      <c r="AD32" s="249" t="str">
        <f t="array" ref="AD32">IFERROR(INDEX($AM$20:$AP$119,MATCH(1,(AD$8&gt;=$AO$20:$AO$119)*($AP$20:$AP$119&gt;=AD$8)*($AM$20:$AM$119=$B$32),0),2),"")</f>
        <v/>
      </c>
      <c r="AE32" s="249" t="str">
        <f t="array" ref="AE32">IFERROR(INDEX($AM$20:$AP$119,MATCH(1,(AE$8&gt;=$AO$20:$AO$119)*($AP$20:$AP$119&gt;=AE$8)*($AM$20:$AM$119=$B$32),0),2),"")</f>
        <v/>
      </c>
      <c r="AF32" s="249" t="str">
        <f t="array" ref="AF32">IFERROR(INDEX($AM$20:$AP$119,MATCH(1,(AF$8&gt;=$AO$20:$AO$119)*($AP$20:$AP$119&gt;=AF$8)*($AM$20:$AM$119=$B$32),0),2),"")</f>
        <v/>
      </c>
      <c r="AG32" s="249" t="str">
        <f t="array" ref="AG32">IFERROR(INDEX($AM$20:$AP$119,MATCH(1,(AG$8&gt;=$AO$20:$AO$119)*($AP$20:$AP$119&gt;=AG$8)*($AM$20:$AM$119=$B$32),0),2),"")</f>
        <v/>
      </c>
      <c r="AH32" s="256" t="str">
        <f>B32</f>
        <v>odette</v>
      </c>
      <c r="AI32" s="255">
        <f>COUNTIF(C32:AG32,$AI$10)</f>
        <v>0</v>
      </c>
      <c r="AJ32" s="13"/>
      <c r="AK32" s="696" t="s">
        <v>5</v>
      </c>
      <c r="AL32" s="13">
        <v>13</v>
      </c>
      <c r="AM32" s="11" t="s">
        <v>4</v>
      </c>
      <c r="AN32" s="629" t="s">
        <v>360</v>
      </c>
      <c r="AO32" s="31">
        <v>43831</v>
      </c>
      <c r="AP32" s="31">
        <v>43833</v>
      </c>
      <c r="AQ32" s="635">
        <f>Absences26810121424[[#This Row],[debut]]</f>
        <v>43831</v>
      </c>
      <c r="AR32" s="13"/>
      <c r="AU32" s="13"/>
      <c r="AV32" s="70"/>
      <c r="AW32" s="57"/>
      <c r="AX32" s="57"/>
      <c r="AY32" s="57"/>
      <c r="AZ32" s="54"/>
      <c r="BA32" s="54"/>
      <c r="BB32" s="54"/>
      <c r="BC32" s="55"/>
      <c r="BD32" s="56"/>
      <c r="BE32" s="56"/>
      <c r="BF32" s="56"/>
      <c r="BG32" s="56"/>
      <c r="BI32" s="290"/>
      <c r="BJ32" s="353" t="s">
        <v>670</v>
      </c>
      <c r="BK32" s="315" t="s">
        <v>550</v>
      </c>
      <c r="BL32" s="315"/>
      <c r="BM32" s="315"/>
      <c r="BN32" s="315"/>
      <c r="BO32" s="315"/>
      <c r="BP32" s="316"/>
      <c r="BQ32" s="333" t="s">
        <v>671</v>
      </c>
      <c r="BR32" s="340">
        <v>14</v>
      </c>
      <c r="BS32" s="335">
        <v>0.25</v>
      </c>
      <c r="BT32" s="336">
        <v>0.5625</v>
      </c>
      <c r="BU32" s="337">
        <v>1</v>
      </c>
      <c r="BV32" s="338">
        <f t="shared" si="6"/>
        <v>0.29166666666666669</v>
      </c>
      <c r="BW32" s="315"/>
      <c r="BX32" s="313"/>
      <c r="BZ32" s="359">
        <f t="shared" si="5"/>
        <v>44511</v>
      </c>
      <c r="CA32" s="360">
        <f>DATE(BZ4+1,11,11)</f>
        <v>44511</v>
      </c>
      <c r="CB32" s="361" t="s">
        <v>587</v>
      </c>
      <c r="CC32" s="563"/>
      <c r="CD32" s="563"/>
      <c r="CE32" s="563"/>
    </row>
    <row r="33" spans="1:83" ht="16.5" customHeight="1" thickBot="1" x14ac:dyDescent="0.3">
      <c r="A33" s="13"/>
      <c r="B33" s="43">
        <f>COUNTA(C33:AG33)</f>
        <v>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706">
        <f>COUNTIF(C32:AG32,$AH$11)</f>
        <v>0</v>
      </c>
      <c r="AI33" s="708">
        <f>COUNTIF(C32:AG32,$AI$11)</f>
        <v>0</v>
      </c>
      <c r="AJ33" s="13"/>
      <c r="AK33" s="697" t="s">
        <v>850</v>
      </c>
      <c r="AL33" s="13">
        <v>14</v>
      </c>
      <c r="AM33" s="696" t="s">
        <v>853</v>
      </c>
      <c r="AN33" s="10" t="s">
        <v>6</v>
      </c>
      <c r="AO33" s="31">
        <v>43837</v>
      </c>
      <c r="AP33" s="31">
        <v>43847</v>
      </c>
      <c r="AQ33" s="635">
        <f>Absences26810121424[[#This Row],[debut]]</f>
        <v>43837</v>
      </c>
      <c r="AR33" s="13"/>
      <c r="AU33" s="13"/>
      <c r="AV33" s="94" t="s">
        <v>91</v>
      </c>
      <c r="AW33" s="50">
        <v>0.25</v>
      </c>
      <c r="AX33" s="50">
        <v>0.58333333333333337</v>
      </c>
      <c r="AY33" s="51">
        <v>1</v>
      </c>
      <c r="AZ33" s="52">
        <f>IF(AX33-AW33=0,0,(AX33-AW33)-(AY33*TIMEVALUE("00:30")))</f>
        <v>0.31250000000000006</v>
      </c>
      <c r="BA33" s="53" t="s">
        <v>69</v>
      </c>
      <c r="BB33" s="54"/>
      <c r="BC33" s="55"/>
      <c r="BD33" s="56"/>
      <c r="BE33" s="56"/>
      <c r="BF33" s="56"/>
      <c r="BG33" s="56"/>
      <c r="BI33" s="290"/>
      <c r="BJ33" s="354" t="s">
        <v>515</v>
      </c>
      <c r="BK33" s="315" t="s">
        <v>516</v>
      </c>
      <c r="BL33" s="294"/>
      <c r="BM33" s="294"/>
      <c r="BN33" s="294"/>
      <c r="BO33" s="294"/>
      <c r="BP33" s="316"/>
      <c r="BQ33" s="333" t="s">
        <v>672</v>
      </c>
      <c r="BR33" s="341">
        <v>14</v>
      </c>
      <c r="BS33" s="342">
        <v>0</v>
      </c>
      <c r="BT33" s="343">
        <v>0</v>
      </c>
      <c r="BU33" s="344">
        <v>0</v>
      </c>
      <c r="BV33" s="345">
        <f>(BT33-BS33)-("00:30"*BU33)</f>
        <v>0</v>
      </c>
      <c r="BW33" s="294"/>
      <c r="BX33" s="313"/>
      <c r="BZ33" s="359">
        <f t="shared" si="5"/>
        <v>44555</v>
      </c>
      <c r="CA33" s="360">
        <f>DATE(BZ4+1,12,25)</f>
        <v>44555</v>
      </c>
      <c r="CB33" s="361" t="s">
        <v>723</v>
      </c>
      <c r="CC33" s="563"/>
      <c r="CD33" s="563"/>
      <c r="CE33" s="563"/>
    </row>
    <row r="34" spans="1:83" ht="14.25" customHeight="1" x14ac:dyDescent="0.25">
      <c r="A34" s="13"/>
      <c r="B34" s="697" t="s">
        <v>848</v>
      </c>
      <c r="C34" s="249" t="str">
        <f t="array" ref="C34">IFERROR(INDEX($AM$20:$AP$119,MATCH(1,(C$8&gt;=$AO$20:$AO$119)*($AP$20:$AP$119&gt;=C$8)*($AM$20:$AM$119=$B$34),0),2),"")</f>
        <v/>
      </c>
      <c r="D34" s="249" t="str">
        <f t="array" ref="D34">IFERROR(INDEX($AM$20:$AP$119,MATCH(1,(D$8&gt;=$AO$20:$AO$119)*($AP$20:$AP$119&gt;=D$8)*($AM$20:$AM$119=$B$34),0),2),"")</f>
        <v/>
      </c>
      <c r="E34" s="249" t="str">
        <f t="array" ref="E34">IFERROR(INDEX($AM$20:$AP$119,MATCH(1,(E$8&gt;=$AO$20:$AO$119)*($AP$20:$AP$119&gt;=E$8)*($AM$20:$AM$119=$B$34),0),2),"")</f>
        <v/>
      </c>
      <c r="F34" s="249" t="str">
        <f t="array" ref="F34">IFERROR(INDEX($AM$20:$AP$119,MATCH(1,(F$8&gt;=$AO$20:$AO$119)*($AP$20:$AP$119&gt;=F$8)*($AM$20:$AM$119=$B$34),0),2),"")</f>
        <v/>
      </c>
      <c r="G34" s="249" t="str">
        <f t="array" ref="G34">IFERROR(INDEX($AM$20:$AP$119,MATCH(1,(G$8&gt;=$AO$20:$AO$119)*($AP$20:$AP$119&gt;=G$8)*($AM$20:$AM$119=$B$34),0),2),"")</f>
        <v/>
      </c>
      <c r="H34" s="249" t="str">
        <f t="array" ref="H34">IFERROR(INDEX($AM$20:$AP$119,MATCH(1,(H$8&gt;=$AO$20:$AO$119)*($AP$20:$AP$119&gt;=H$8)*($AM$20:$AM$119=$B$34),0),2),"")</f>
        <v/>
      </c>
      <c r="I34" s="249" t="str">
        <f t="array" ref="I34">IFERROR(INDEX($AM$20:$AP$119,MATCH(1,(I$8&gt;=$AO$20:$AO$119)*($AP$20:$AP$119&gt;=I$8)*($AM$20:$AM$119=$B$34),0),2),"")</f>
        <v/>
      </c>
      <c r="J34" s="249" t="str">
        <f t="array" ref="J34">IFERROR(INDEX($AM$20:$AP$119,MATCH(1,(J$8&gt;=$AO$20:$AO$119)*($AP$20:$AP$119&gt;=J$8)*($AM$20:$AM$119=$B$34),0),2),"")</f>
        <v/>
      </c>
      <c r="K34" s="249" t="str">
        <f t="array" ref="K34">IFERROR(INDEX($AM$20:$AP$119,MATCH(1,(K$8&gt;=$AO$20:$AO$119)*($AP$20:$AP$119&gt;=K$8)*($AM$20:$AM$119=$B$34),0),2),"")</f>
        <v/>
      </c>
      <c r="L34" s="249" t="str">
        <f t="array" ref="L34">IFERROR(INDEX($AM$20:$AP$119,MATCH(1,(L$8&gt;=$AO$20:$AO$119)*($AP$20:$AP$119&gt;=L$8)*($AM$20:$AM$119=$B$34),0),2),"")</f>
        <v/>
      </c>
      <c r="M34" s="249" t="str">
        <f t="array" ref="M34">IFERROR(INDEX($AM$20:$AP$119,MATCH(1,(M$8&gt;=$AO$20:$AO$119)*($AP$20:$AP$119&gt;=M$8)*($AM$20:$AM$119=$B$34),0),2),"")</f>
        <v/>
      </c>
      <c r="N34" s="249" t="str">
        <f t="array" ref="N34">IFERROR(INDEX($AM$20:$AP$119,MATCH(1,(N$8&gt;=$AO$20:$AO$119)*($AP$20:$AP$119&gt;=N$8)*($AM$20:$AM$119=$B$34),0),2),"")</f>
        <v/>
      </c>
      <c r="O34" s="249" t="str">
        <f t="array" ref="O34">IFERROR(INDEX($AM$20:$AP$119,MATCH(1,(O$8&gt;=$AO$20:$AO$119)*($AP$20:$AP$119&gt;=O$8)*($AM$20:$AM$119=$B$34),0),2),"")</f>
        <v/>
      </c>
      <c r="P34" s="249" t="str">
        <f t="array" ref="P34">IFERROR(INDEX($AM$20:$AP$119,MATCH(1,(P$8&gt;=$AO$20:$AO$119)*($AP$20:$AP$119&gt;=P$8)*($AM$20:$AM$119=$B$34),0),2),"")</f>
        <v/>
      </c>
      <c r="Q34" s="249" t="str">
        <f t="array" ref="Q34">IFERROR(INDEX($AM$20:$AP$119,MATCH(1,(Q$8&gt;=$AO$20:$AO$119)*($AP$20:$AP$119&gt;=Q$8)*($AM$20:$AM$119=$B$34),0),2),"")</f>
        <v/>
      </c>
      <c r="R34" s="249" t="str">
        <f t="array" ref="R34">IFERROR(INDEX($AM$20:$AP$119,MATCH(1,(R$8&gt;=$AO$20:$AO$119)*($AP$20:$AP$119&gt;=R$8)*($AM$20:$AM$119=$B$34),0),2),"")</f>
        <v/>
      </c>
      <c r="S34" s="249" t="str">
        <f t="array" ref="S34">IFERROR(INDEX($AM$20:$AP$119,MATCH(1,(S$8&gt;=$AO$20:$AO$119)*($AP$20:$AP$119&gt;=S$8)*($AM$20:$AM$119=$B$34),0),2),"")</f>
        <v/>
      </c>
      <c r="T34" s="249" t="str">
        <f t="array" ref="T34">IFERROR(INDEX($AM$20:$AP$119,MATCH(1,(T$8&gt;=$AO$20:$AO$119)*($AP$20:$AP$119&gt;=T$8)*($AM$20:$AM$119=$B$34),0),2),"")</f>
        <v/>
      </c>
      <c r="U34" s="249" t="str">
        <f t="array" ref="U34">IFERROR(INDEX($AM$20:$AP$119,MATCH(1,(U$8&gt;=$AO$20:$AO$119)*($AP$20:$AP$119&gt;=U$8)*($AM$20:$AM$119=$B$34),0),2),"")</f>
        <v/>
      </c>
      <c r="V34" s="249" t="str">
        <f t="array" ref="V34">IFERROR(INDEX($AM$20:$AP$119,MATCH(1,(V$8&gt;=$AO$20:$AO$119)*($AP$20:$AP$119&gt;=V$8)*($AM$20:$AM$119=$B$34),0),2),"")</f>
        <v/>
      </c>
      <c r="W34" s="249" t="str">
        <f t="array" ref="W34">IFERROR(INDEX($AM$20:$AP$119,MATCH(1,(W$8&gt;=$AO$20:$AO$119)*($AP$20:$AP$119&gt;=W$8)*($AM$20:$AM$119=$B$34),0),2),"")</f>
        <v/>
      </c>
      <c r="X34" s="249" t="str">
        <f t="array" ref="X34">IFERROR(INDEX($AM$20:$AP$119,MATCH(1,(X$8&gt;=$AO$20:$AO$119)*($AP$20:$AP$119&gt;=X$8)*($AM$20:$AM$119=$B$34),0),2),"")</f>
        <v/>
      </c>
      <c r="Y34" s="249" t="str">
        <f t="array" ref="Y34">IFERROR(INDEX($AM$20:$AP$119,MATCH(1,(Y$8&gt;=$AO$20:$AO$119)*($AP$20:$AP$119&gt;=Y$8)*($AM$20:$AM$119=$B$34),0),2),"")</f>
        <v/>
      </c>
      <c r="Z34" s="249" t="str">
        <f t="array" ref="Z34">IFERROR(INDEX($AM$20:$AP$119,MATCH(1,(Z$8&gt;=$AO$20:$AO$119)*($AP$20:$AP$119&gt;=Z$8)*($AM$20:$AM$119=$B$34),0),2),"")</f>
        <v/>
      </c>
      <c r="AA34" s="249" t="str">
        <f t="array" ref="AA34">IFERROR(INDEX($AM$20:$AP$119,MATCH(1,(AA$8&gt;=$AO$20:$AO$119)*($AP$20:$AP$119&gt;=AA$8)*($AM$20:$AM$119=$B$34),0),2),"")</f>
        <v/>
      </c>
      <c r="AB34" s="249" t="str">
        <f t="array" ref="AB34">IFERROR(INDEX($AM$20:$AP$119,MATCH(1,(AB$8&gt;=$AO$20:$AO$119)*($AP$20:$AP$119&gt;=AB$8)*($AM$20:$AM$119=$B$34),0),2),"")</f>
        <v/>
      </c>
      <c r="AC34" s="249" t="str">
        <f t="array" ref="AC34">IFERROR(INDEX($AM$20:$AP$119,MATCH(1,(AC$8&gt;=$AO$20:$AO$119)*($AP$20:$AP$119&gt;=AC$8)*($AM$20:$AM$119=$B$34),0),2),"")</f>
        <v/>
      </c>
      <c r="AD34" s="249" t="str">
        <f t="array" ref="AD34">IFERROR(INDEX($AM$20:$AP$119,MATCH(1,(AD$8&gt;=$AO$20:$AO$119)*($AP$20:$AP$119&gt;=AD$8)*($AM$20:$AM$119=$B$34),0),2),"")</f>
        <v/>
      </c>
      <c r="AE34" s="249" t="str">
        <f t="array" ref="AE34">IFERROR(INDEX($AM$20:$AP$119,MATCH(1,(AE$8&gt;=$AO$20:$AO$119)*($AP$20:$AP$119&gt;=AE$8)*($AM$20:$AM$119=$B$34),0),2),"")</f>
        <v/>
      </c>
      <c r="AF34" s="249" t="str">
        <f t="array" ref="AF34">IFERROR(INDEX($AM$20:$AP$119,MATCH(1,(AF$8&gt;=$AO$20:$AO$119)*($AP$20:$AP$119&gt;=AF$8)*($AM$20:$AM$119=$B$34),0),2),"")</f>
        <v/>
      </c>
      <c r="AG34" s="249" t="str">
        <f t="array" ref="AG34">IFERROR(INDEX($AM$20:$AP$119,MATCH(1,(AG$8&gt;=$AO$20:$AO$119)*($AP$20:$AP$119&gt;=AG$8)*($AM$20:$AM$119=$B$34),0),2),"")</f>
        <v/>
      </c>
      <c r="AH34" s="256" t="str">
        <f>B34</f>
        <v>robert</v>
      </c>
      <c r="AI34" s="255">
        <f>COUNTIF(C34:AG34,$AI$10)</f>
        <v>0</v>
      </c>
      <c r="AJ34" s="13"/>
      <c r="AK34" s="696" t="s">
        <v>854</v>
      </c>
      <c r="AL34" s="13">
        <v>15</v>
      </c>
      <c r="AM34" s="11"/>
      <c r="AN34" s="23"/>
      <c r="AO34" s="31"/>
      <c r="AP34" s="31"/>
      <c r="AQ34" s="635">
        <f>Absences26810121424[[#This Row],[debut]]</f>
        <v>0</v>
      </c>
      <c r="AR34" s="13"/>
      <c r="AS34" s="623" t="s">
        <v>826</v>
      </c>
      <c r="AT34" s="13"/>
      <c r="AU34" s="13"/>
      <c r="AV34" s="1506" t="s">
        <v>70</v>
      </c>
      <c r="AW34" s="1506"/>
      <c r="AX34" s="1506"/>
      <c r="AY34" s="1506"/>
      <c r="AZ34" s="1506"/>
      <c r="BA34" s="1506"/>
      <c r="BB34" s="1506"/>
      <c r="BC34" s="1506"/>
      <c r="BD34" s="1506"/>
      <c r="BE34" s="1506"/>
      <c r="BF34" s="1506"/>
      <c r="BG34" s="1506"/>
      <c r="BI34" s="290"/>
      <c r="BJ34" s="354" t="s">
        <v>518</v>
      </c>
      <c r="BK34" s="315" t="s">
        <v>519</v>
      </c>
      <c r="BL34" s="294"/>
      <c r="BM34" s="294"/>
      <c r="BN34" s="294"/>
      <c r="BO34" s="294"/>
      <c r="BP34" s="316"/>
      <c r="BQ34" s="333" t="s">
        <v>673</v>
      </c>
      <c r="BR34" s="340">
        <v>16</v>
      </c>
      <c r="BS34" s="335">
        <v>0.3125</v>
      </c>
      <c r="BT34" s="336">
        <v>0.5</v>
      </c>
      <c r="BU34" s="337">
        <v>1</v>
      </c>
      <c r="BV34" s="338">
        <f t="shared" si="6"/>
        <v>0.16666666666666666</v>
      </c>
      <c r="BW34" s="294"/>
      <c r="BX34" s="313"/>
      <c r="BZ34" s="366">
        <f>CA34</f>
        <v>44562</v>
      </c>
      <c r="CA34" s="367">
        <f>DATE(BZ4+2,1,1)</f>
        <v>44562</v>
      </c>
      <c r="CB34" s="368" t="s">
        <v>721</v>
      </c>
      <c r="CC34" s="563"/>
      <c r="CD34" s="563"/>
      <c r="CE34" s="563"/>
    </row>
    <row r="35" spans="1:83" ht="16.5" customHeight="1" thickBot="1" x14ac:dyDescent="0.3">
      <c r="A35" s="13"/>
      <c r="B35" s="43">
        <f>COUNTA(C35:AG35)</f>
        <v>0</v>
      </c>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706">
        <f>COUNTIF(C34:AG34,$AH$11)</f>
        <v>0</v>
      </c>
      <c r="AI35" s="708">
        <f>COUNTIF(C34:AG34,$AI$11)</f>
        <v>0</v>
      </c>
      <c r="AJ35" s="13"/>
      <c r="AK35" s="1510" t="s">
        <v>860</v>
      </c>
      <c r="AL35" s="13">
        <v>16</v>
      </c>
      <c r="AM35" s="11"/>
      <c r="AN35" s="23"/>
      <c r="AO35" s="31"/>
      <c r="AP35" s="31"/>
      <c r="AQ35" s="635">
        <f>Absences26810121424[[#This Row],[debut]]</f>
        <v>0</v>
      </c>
      <c r="AR35" s="13"/>
      <c r="AS35" s="13"/>
      <c r="AT35" s="13"/>
      <c r="AU35" s="13"/>
      <c r="AV35" s="1506"/>
      <c r="AW35" s="1506"/>
      <c r="AX35" s="1506"/>
      <c r="AY35" s="1506"/>
      <c r="AZ35" s="1506"/>
      <c r="BA35" s="1506"/>
      <c r="BB35" s="1506"/>
      <c r="BC35" s="1506"/>
      <c r="BD35" s="1506"/>
      <c r="BE35" s="1506"/>
      <c r="BF35" s="1506"/>
      <c r="BG35" s="1506"/>
      <c r="BI35" s="290"/>
      <c r="BJ35" s="354" t="s">
        <v>520</v>
      </c>
      <c r="BK35" s="315" t="s">
        <v>521</v>
      </c>
      <c r="BL35" s="294"/>
      <c r="BM35" s="294"/>
      <c r="BN35" s="294"/>
      <c r="BO35" s="294"/>
      <c r="BP35" s="316"/>
      <c r="BQ35" s="333" t="s">
        <v>674</v>
      </c>
      <c r="BR35" s="340">
        <v>17</v>
      </c>
      <c r="BS35" s="335">
        <v>0.52083333333333337</v>
      </c>
      <c r="BT35" s="336">
        <v>0.66666666666666663</v>
      </c>
      <c r="BU35" s="337">
        <v>1</v>
      </c>
      <c r="BV35" s="338">
        <f t="shared" si="6"/>
        <v>0.12499999999999993</v>
      </c>
      <c r="BW35" s="294"/>
      <c r="BX35" s="313"/>
    </row>
    <row r="36" spans="1:83" ht="14.25" customHeight="1" x14ac:dyDescent="0.25">
      <c r="A36" s="13"/>
      <c r="B36" s="696" t="s">
        <v>5</v>
      </c>
      <c r="C36" s="249" t="str">
        <f t="array" ref="C36">IFERROR(INDEX($AM$20:$AP$119,MATCH(1,(C$8&gt;=$AO$20:$AO$119)*($AP$20:$AP$119&gt;=C$8)*($AM$20:$AM$119=$B$36),0),2),"")</f>
        <v/>
      </c>
      <c r="D36" s="249" t="str">
        <f t="array" ref="D36">IFERROR(INDEX($AM$20:$AP$119,MATCH(1,(D$8&gt;=$AO$20:$AO$119)*($AP$20:$AP$119&gt;=D$8)*($AM$20:$AM$119=$B$36),0),2),"")</f>
        <v/>
      </c>
      <c r="E36" s="249" t="str">
        <f t="array" ref="E36">IFERROR(INDEX($AM$20:$AP$119,MATCH(1,(E$8&gt;=$AO$20:$AO$119)*($AP$20:$AP$119&gt;=E$8)*($AM$20:$AM$119=$B$36),0),2),"")</f>
        <v/>
      </c>
      <c r="F36" s="249" t="str">
        <f t="array" ref="F36">IFERROR(INDEX($AM$20:$AP$119,MATCH(1,(F$8&gt;=$AO$20:$AO$119)*($AP$20:$AP$119&gt;=F$8)*($AM$20:$AM$119=$B$36),0),2),"")</f>
        <v/>
      </c>
      <c r="G36" s="249" t="str">
        <f t="array" ref="G36">IFERROR(INDEX($AM$20:$AP$119,MATCH(1,(G$8&gt;=$AO$20:$AO$119)*($AP$20:$AP$119&gt;=G$8)*($AM$20:$AM$119=$B$36),0),2),"")</f>
        <v/>
      </c>
      <c r="H36" s="249" t="str">
        <f t="array" ref="H36">IFERROR(INDEX($AM$20:$AP$119,MATCH(1,(H$8&gt;=$AO$20:$AO$119)*($AP$20:$AP$119&gt;=H$8)*($AM$20:$AM$119=$B$36),0),2),"")</f>
        <v/>
      </c>
      <c r="I36" s="249" t="str">
        <f t="array" ref="I36">IFERROR(INDEX($AM$20:$AP$119,MATCH(1,(I$8&gt;=$AO$20:$AO$119)*($AP$20:$AP$119&gt;=I$8)*($AM$20:$AM$119=$B$36),0),2),"")</f>
        <v/>
      </c>
      <c r="J36" s="249" t="str">
        <f t="array" ref="J36">IFERROR(INDEX($AM$20:$AP$119,MATCH(1,(J$8&gt;=$AO$20:$AO$119)*($AP$20:$AP$119&gt;=J$8)*($AM$20:$AM$119=$B$36),0),2),"")</f>
        <v>C</v>
      </c>
      <c r="K36" s="249" t="str">
        <f t="array" ref="K36">IFERROR(INDEX($AM$20:$AP$119,MATCH(1,(K$8&gt;=$AO$20:$AO$119)*($AP$20:$AP$119&gt;=K$8)*($AM$20:$AM$119=$B$36),0),2),"")</f>
        <v>C</v>
      </c>
      <c r="L36" s="249" t="str">
        <f t="array" ref="L36">IFERROR(INDEX($AM$20:$AP$119,MATCH(1,(L$8&gt;=$AO$20:$AO$119)*($AP$20:$AP$119&gt;=L$8)*($AM$20:$AM$119=$B$36),0),2),"")</f>
        <v>C</v>
      </c>
      <c r="M36" s="249" t="str">
        <f t="array" ref="M36">IFERROR(INDEX($AM$20:$AP$119,MATCH(1,(M$8&gt;=$AO$20:$AO$119)*($AP$20:$AP$119&gt;=M$8)*($AM$20:$AM$119=$B$36),0),2),"")</f>
        <v>C</v>
      </c>
      <c r="N36" s="249" t="str">
        <f t="array" ref="N36">IFERROR(INDEX($AM$20:$AP$119,MATCH(1,(N$8&gt;=$AO$20:$AO$119)*($AP$20:$AP$119&gt;=N$8)*($AM$20:$AM$119=$B$36),0),2),"")</f>
        <v>C</v>
      </c>
      <c r="O36" s="249" t="str">
        <f t="array" ref="O36">IFERROR(INDEX($AM$20:$AP$119,MATCH(1,(O$8&gt;=$AO$20:$AO$119)*($AP$20:$AP$119&gt;=O$8)*($AM$20:$AM$119=$B$36),0),2),"")</f>
        <v>C</v>
      </c>
      <c r="P36" s="249" t="str">
        <f t="array" ref="P36">IFERROR(INDEX($AM$20:$AP$119,MATCH(1,(P$8&gt;=$AO$20:$AO$119)*($AP$20:$AP$119&gt;=P$8)*($AM$20:$AM$119=$B$36),0),2),"")</f>
        <v>C</v>
      </c>
      <c r="Q36" s="249" t="str">
        <f t="array" ref="Q36">IFERROR(INDEX($AM$20:$AP$119,MATCH(1,(Q$8&gt;=$AO$20:$AO$119)*($AP$20:$AP$119&gt;=Q$8)*($AM$20:$AM$119=$B$36),0),2),"")</f>
        <v>C</v>
      </c>
      <c r="R36" s="249" t="str">
        <f t="array" ref="R36">IFERROR(INDEX($AM$20:$AP$119,MATCH(1,(R$8&gt;=$AO$20:$AO$119)*($AP$20:$AP$119&gt;=R$8)*($AM$20:$AM$119=$B$36),0),2),"")</f>
        <v/>
      </c>
      <c r="S36" s="249" t="str">
        <f t="array" ref="S36">IFERROR(INDEX($AM$20:$AP$119,MATCH(1,(S$8&gt;=$AO$20:$AO$119)*($AP$20:$AP$119&gt;=S$8)*($AM$20:$AM$119=$B$36),0),2),"")</f>
        <v/>
      </c>
      <c r="T36" s="249" t="str">
        <f t="array" ref="T36">IFERROR(INDEX($AM$20:$AP$119,MATCH(1,(T$8&gt;=$AO$20:$AO$119)*($AP$20:$AP$119&gt;=T$8)*($AM$20:$AM$119=$B$36),0),2),"")</f>
        <v/>
      </c>
      <c r="U36" s="249" t="str">
        <f t="array" ref="U36">IFERROR(INDEX($AM$20:$AP$119,MATCH(1,(U$8&gt;=$AO$20:$AO$119)*($AP$20:$AP$119&gt;=U$8)*($AM$20:$AM$119=$B$36),0),2),"")</f>
        <v/>
      </c>
      <c r="V36" s="249" t="str">
        <f t="array" ref="V36">IFERROR(INDEX($AM$20:$AP$119,MATCH(1,(V$8&gt;=$AO$20:$AO$119)*($AP$20:$AP$119&gt;=V$8)*($AM$20:$AM$119=$B$36),0),2),"")</f>
        <v/>
      </c>
      <c r="W36" s="249" t="str">
        <f t="array" ref="W36">IFERROR(INDEX($AM$20:$AP$119,MATCH(1,(W$8&gt;=$AO$20:$AO$119)*($AP$20:$AP$119&gt;=W$8)*($AM$20:$AM$119=$B$36),0),2),"")</f>
        <v/>
      </c>
      <c r="X36" s="249" t="str">
        <f t="array" ref="X36">IFERROR(INDEX($AM$20:$AP$119,MATCH(1,(X$8&gt;=$AO$20:$AO$119)*($AP$20:$AP$119&gt;=X$8)*($AM$20:$AM$119=$B$36),0),2),"")</f>
        <v/>
      </c>
      <c r="Y36" s="249" t="str">
        <f t="array" ref="Y36">IFERROR(INDEX($AM$20:$AP$119,MATCH(1,(Y$8&gt;=$AO$20:$AO$119)*($AP$20:$AP$119&gt;=Y$8)*($AM$20:$AM$119=$B$36),0),2),"")</f>
        <v/>
      </c>
      <c r="Z36" s="249" t="str">
        <f t="array" ref="Z36">IFERROR(INDEX($AM$20:$AP$119,MATCH(1,(Z$8&gt;=$AO$20:$AO$119)*($AP$20:$AP$119&gt;=Z$8)*($AM$20:$AM$119=$B$36),0),2),"")</f>
        <v/>
      </c>
      <c r="AA36" s="249" t="str">
        <f t="array" ref="AA36">IFERROR(INDEX($AM$20:$AP$119,MATCH(1,(AA$8&gt;=$AO$20:$AO$119)*($AP$20:$AP$119&gt;=AA$8)*($AM$20:$AM$119=$B$36),0),2),"")</f>
        <v/>
      </c>
      <c r="AB36" s="249" t="str">
        <f t="array" ref="AB36">IFERROR(INDEX($AM$20:$AP$119,MATCH(1,(AB$8&gt;=$AO$20:$AO$119)*($AP$20:$AP$119&gt;=AB$8)*($AM$20:$AM$119=$B$36),0),2),"")</f>
        <v/>
      </c>
      <c r="AC36" s="249" t="str">
        <f t="array" ref="AC36">IFERROR(INDEX($AM$20:$AP$119,MATCH(1,(AC$8&gt;=$AO$20:$AO$119)*($AP$20:$AP$119&gt;=AC$8)*($AM$20:$AM$119=$B$36),0),2),"")</f>
        <v/>
      </c>
      <c r="AD36" s="249" t="str">
        <f t="array" ref="AD36">IFERROR(INDEX($AM$20:$AP$119,MATCH(1,(AD$8&gt;=$AO$20:$AO$119)*($AP$20:$AP$119&gt;=AD$8)*($AM$20:$AM$119=$B$36),0),2),"")</f>
        <v/>
      </c>
      <c r="AE36" s="249" t="str">
        <f t="array" ref="AE36">IFERROR(INDEX($AM$20:$AP$119,MATCH(1,(AE$8&gt;=$AO$20:$AO$119)*($AP$20:$AP$119&gt;=AE$8)*($AM$20:$AM$119=$B$36),0),2),"")</f>
        <v/>
      </c>
      <c r="AF36" s="249" t="str">
        <f t="array" ref="AF36">IFERROR(INDEX($AM$20:$AP$119,MATCH(1,(AF$8&gt;=$AO$20:$AO$119)*($AP$20:$AP$119&gt;=AF$8)*($AM$20:$AM$119=$B$36),0),2),"")</f>
        <v/>
      </c>
      <c r="AG36" s="249" t="str">
        <f t="array" ref="AG36">IFERROR(INDEX($AM$20:$AP$119,MATCH(1,(AG$8&gt;=$AO$20:$AO$119)*($AP$20:$AP$119&gt;=AG$8)*($AM$20:$AM$119=$B$36),0),2),"")</f>
        <v/>
      </c>
      <c r="AH36" s="256" t="str">
        <f>B36</f>
        <v>sebastien</v>
      </c>
      <c r="AI36" s="255">
        <f>COUNTIF(C36:AG36,$AI$10)</f>
        <v>0</v>
      </c>
      <c r="AJ36" s="13"/>
      <c r="AK36" s="1511"/>
      <c r="AL36" s="13">
        <v>17</v>
      </c>
      <c r="AM36" s="11"/>
      <c r="AN36" s="23"/>
      <c r="AO36" s="31"/>
      <c r="AP36" s="31"/>
      <c r="AQ36" s="635">
        <f>Absences26810121424[[#This Row],[debut]]</f>
        <v>0</v>
      </c>
      <c r="AR36" s="13"/>
      <c r="AS36" s="13"/>
      <c r="AT36" s="13"/>
      <c r="AU36" s="13"/>
      <c r="AV36" s="71"/>
      <c r="AW36" s="54"/>
      <c r="AX36" s="54"/>
      <c r="AY36" s="54"/>
      <c r="AZ36" s="54"/>
      <c r="BA36" s="54"/>
      <c r="BB36" s="54"/>
      <c r="BC36" s="55"/>
      <c r="BD36" s="56"/>
      <c r="BE36" s="56"/>
      <c r="BF36" s="56"/>
      <c r="BG36" s="56"/>
      <c r="BI36" s="290"/>
      <c r="BJ36" s="354" t="s">
        <v>523</v>
      </c>
      <c r="BK36" s="315" t="s">
        <v>524</v>
      </c>
      <c r="BL36" s="294"/>
      <c r="BM36" s="294"/>
      <c r="BN36" s="294"/>
      <c r="BO36" s="294"/>
      <c r="BP36" s="316"/>
      <c r="BQ36" s="346" t="s">
        <v>675</v>
      </c>
      <c r="BR36" s="340">
        <v>18</v>
      </c>
      <c r="BS36" s="335">
        <v>0</v>
      </c>
      <c r="BT36" s="336">
        <v>0</v>
      </c>
      <c r="BU36" s="337">
        <v>0</v>
      </c>
      <c r="BV36" s="338">
        <f t="shared" si="6"/>
        <v>0</v>
      </c>
      <c r="BW36" s="294"/>
      <c r="BX36" s="313"/>
    </row>
    <row r="37" spans="1:83" ht="16.5" customHeight="1" thickBot="1" x14ac:dyDescent="0.3">
      <c r="A37" s="13"/>
      <c r="B37" s="43">
        <f>COUNTA(C37:AG37)</f>
        <v>0</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706">
        <f>COUNTIF(C36:AG36,$AH$11)</f>
        <v>0</v>
      </c>
      <c r="AI37" s="708">
        <f>COUNTIF(C36:AG36,$AI$11)</f>
        <v>0</v>
      </c>
      <c r="AJ37" s="13"/>
      <c r="AK37" s="1511"/>
      <c r="AL37" s="13">
        <v>18</v>
      </c>
      <c r="AM37" s="11"/>
      <c r="AN37" s="23"/>
      <c r="AO37" s="31"/>
      <c r="AP37" s="31"/>
      <c r="AQ37" s="635">
        <f>Absences26810121424[[#This Row],[debut]]</f>
        <v>0</v>
      </c>
      <c r="AR37" s="13"/>
      <c r="AS37" s="13"/>
      <c r="AT37" s="13"/>
      <c r="AU37" s="13"/>
      <c r="AV37" s="94" t="s">
        <v>92</v>
      </c>
      <c r="AW37" s="50">
        <v>0.33333333333333331</v>
      </c>
      <c r="AX37" s="50">
        <v>0.5</v>
      </c>
      <c r="AY37" s="51">
        <v>0</v>
      </c>
      <c r="AZ37" s="52">
        <f>IF(AX37-AW37=0,0,(AX37-AW37)-(AY37*TIMEVALUE("00:30")))</f>
        <v>0.16666666666666669</v>
      </c>
      <c r="BA37" s="53" t="s">
        <v>71</v>
      </c>
      <c r="BB37" s="54"/>
      <c r="BC37" s="55"/>
      <c r="BD37" s="56"/>
      <c r="BE37" s="56"/>
      <c r="BF37" s="56"/>
      <c r="BG37" s="56"/>
      <c r="BI37" s="290"/>
      <c r="BJ37" s="354" t="s">
        <v>525</v>
      </c>
      <c r="BK37" s="315" t="s">
        <v>526</v>
      </c>
      <c r="BL37" s="294"/>
      <c r="BM37" s="294"/>
      <c r="BN37" s="294"/>
      <c r="BO37" s="294"/>
      <c r="BP37" s="316"/>
      <c r="BQ37" s="333"/>
      <c r="BR37" s="340">
        <v>19</v>
      </c>
      <c r="BS37" s="335">
        <v>0</v>
      </c>
      <c r="BT37" s="336">
        <v>0</v>
      </c>
      <c r="BU37" s="337">
        <v>0</v>
      </c>
      <c r="BV37" s="338">
        <f t="shared" si="6"/>
        <v>0</v>
      </c>
      <c r="BW37" s="294"/>
      <c r="BX37" s="313"/>
    </row>
    <row r="38" spans="1:83" ht="14.25" customHeight="1" x14ac:dyDescent="0.25">
      <c r="A38" s="13"/>
      <c r="B38" s="697" t="s">
        <v>850</v>
      </c>
      <c r="C38" s="249" t="str">
        <f t="array" ref="C38">IFERROR(INDEX($AM$20:$AP$119,MATCH(1,(C$8&gt;=$AO$20:$AO$119)*($AP$20:$AP$119&gt;=C$8)*($AM$20:$AM$119=$B$38),0),2),"")</f>
        <v/>
      </c>
      <c r="D38" s="249" t="str">
        <f t="array" ref="D38">IFERROR(INDEX($AM$20:$AP$119,MATCH(1,(D$8&gt;=$AO$20:$AO$119)*($AP$20:$AP$119&gt;=D$8)*($AM$20:$AM$119=$B$38),0),2),"")</f>
        <v/>
      </c>
      <c r="E38" s="249" t="str">
        <f t="array" ref="E38">IFERROR(INDEX($AM$20:$AP$119,MATCH(1,(E$8&gt;=$AO$20:$AO$119)*($AP$20:$AP$119&gt;=E$8)*($AM$20:$AM$119=$B$38),0),2),"")</f>
        <v/>
      </c>
      <c r="F38" s="249" t="str">
        <f t="array" ref="F38">IFERROR(INDEX($AM$20:$AP$119,MATCH(1,(F$8&gt;=$AO$20:$AO$119)*($AP$20:$AP$119&gt;=F$8)*($AM$20:$AM$119=$B$38),0),2),"")</f>
        <v/>
      </c>
      <c r="G38" s="249" t="str">
        <f t="array" ref="G38">IFERROR(INDEX($AM$20:$AP$119,MATCH(1,(G$8&gt;=$AO$20:$AO$119)*($AP$20:$AP$119&gt;=G$8)*($AM$20:$AM$119=$B$38),0),2),"")</f>
        <v/>
      </c>
      <c r="H38" s="249" t="str">
        <f t="array" ref="H38">IFERROR(INDEX($AM$20:$AP$119,MATCH(1,(H$8&gt;=$AO$20:$AO$119)*($AP$20:$AP$119&gt;=H$8)*($AM$20:$AM$119=$B$38),0),2),"")</f>
        <v/>
      </c>
      <c r="I38" s="249" t="str">
        <f t="array" ref="I38">IFERROR(INDEX($AM$20:$AP$119,MATCH(1,(I$8&gt;=$AO$20:$AO$119)*($AP$20:$AP$119&gt;=I$8)*($AM$20:$AM$119=$B$38),0),2),"")</f>
        <v/>
      </c>
      <c r="J38" s="249" t="str">
        <f t="array" ref="J38">IFERROR(INDEX($AM$20:$AP$119,MATCH(1,(J$8&gt;=$AO$20:$AO$119)*($AP$20:$AP$119&gt;=J$8)*($AM$20:$AM$119=$B$38),0),2),"")</f>
        <v/>
      </c>
      <c r="K38" s="249" t="str">
        <f t="array" ref="K38">IFERROR(INDEX($AM$20:$AP$119,MATCH(1,(K$8&gt;=$AO$20:$AO$119)*($AP$20:$AP$119&gt;=K$8)*($AM$20:$AM$119=$B$38),0),2),"")</f>
        <v/>
      </c>
      <c r="L38" s="249" t="str">
        <f t="array" ref="L38">IFERROR(INDEX($AM$20:$AP$119,MATCH(1,(L$8&gt;=$AO$20:$AO$119)*($AP$20:$AP$119&gt;=L$8)*($AM$20:$AM$119=$B$38),0),2),"")</f>
        <v/>
      </c>
      <c r="M38" s="249" t="str">
        <f t="array" ref="M38">IFERROR(INDEX($AM$20:$AP$119,MATCH(1,(M$8&gt;=$AO$20:$AO$119)*($AP$20:$AP$119&gt;=M$8)*($AM$20:$AM$119=$B$38),0),2),"")</f>
        <v/>
      </c>
      <c r="N38" s="249" t="str">
        <f t="array" ref="N38">IFERROR(INDEX($AM$20:$AP$119,MATCH(1,(N$8&gt;=$AO$20:$AO$119)*($AP$20:$AP$119&gt;=N$8)*($AM$20:$AM$119=$B$38),0),2),"")</f>
        <v/>
      </c>
      <c r="O38" s="249" t="str">
        <f t="array" ref="O38">IFERROR(INDEX($AM$20:$AP$119,MATCH(1,(O$8&gt;=$AO$20:$AO$119)*($AP$20:$AP$119&gt;=O$8)*($AM$20:$AM$119=$B$38),0),2),"")</f>
        <v/>
      </c>
      <c r="P38" s="249" t="str">
        <f t="array" ref="P38">IFERROR(INDEX($AM$20:$AP$119,MATCH(1,(P$8&gt;=$AO$20:$AO$119)*($AP$20:$AP$119&gt;=P$8)*($AM$20:$AM$119=$B$38),0),2),"")</f>
        <v/>
      </c>
      <c r="Q38" s="249" t="str">
        <f t="array" ref="Q38">IFERROR(INDEX($AM$20:$AP$119,MATCH(1,(Q$8&gt;=$AO$20:$AO$119)*($AP$20:$AP$119&gt;=Q$8)*($AM$20:$AM$119=$B$38),0),2),"")</f>
        <v/>
      </c>
      <c r="R38" s="249" t="str">
        <f t="array" ref="R38">IFERROR(INDEX($AM$20:$AP$119,MATCH(1,(R$8&gt;=$AO$20:$AO$119)*($AP$20:$AP$119&gt;=R$8)*($AM$20:$AM$119=$B$38),0),2),"")</f>
        <v/>
      </c>
      <c r="S38" s="249" t="str">
        <f t="array" ref="S38">IFERROR(INDEX($AM$20:$AP$119,MATCH(1,(S$8&gt;=$AO$20:$AO$119)*($AP$20:$AP$119&gt;=S$8)*($AM$20:$AM$119=$B$38),0),2),"")</f>
        <v/>
      </c>
      <c r="T38" s="249" t="str">
        <f t="array" ref="T38">IFERROR(INDEX($AM$20:$AP$119,MATCH(1,(T$8&gt;=$AO$20:$AO$119)*($AP$20:$AP$119&gt;=T$8)*($AM$20:$AM$119=$B$38),0),2),"")</f>
        <v/>
      </c>
      <c r="U38" s="249" t="str">
        <f t="array" ref="U38">IFERROR(INDEX($AM$20:$AP$119,MATCH(1,(U$8&gt;=$AO$20:$AO$119)*($AP$20:$AP$119&gt;=U$8)*($AM$20:$AM$119=$B$38),0),2),"")</f>
        <v/>
      </c>
      <c r="V38" s="249" t="str">
        <f t="array" ref="V38">IFERROR(INDEX($AM$20:$AP$119,MATCH(1,(V$8&gt;=$AO$20:$AO$119)*($AP$20:$AP$119&gt;=V$8)*($AM$20:$AM$119=$B$38),0),2),"")</f>
        <v/>
      </c>
      <c r="W38" s="249" t="str">
        <f t="array" ref="W38">IFERROR(INDEX($AM$20:$AP$119,MATCH(1,(W$8&gt;=$AO$20:$AO$119)*($AP$20:$AP$119&gt;=W$8)*($AM$20:$AM$119=$B$38),0),2),"")</f>
        <v/>
      </c>
      <c r="X38" s="249" t="str">
        <f t="array" ref="X38">IFERROR(INDEX($AM$20:$AP$119,MATCH(1,(X$8&gt;=$AO$20:$AO$119)*($AP$20:$AP$119&gt;=X$8)*($AM$20:$AM$119=$B$38),0),2),"")</f>
        <v/>
      </c>
      <c r="Y38" s="249" t="str">
        <f t="array" ref="Y38">IFERROR(INDEX($AM$20:$AP$119,MATCH(1,(Y$8&gt;=$AO$20:$AO$119)*($AP$20:$AP$119&gt;=Y$8)*($AM$20:$AM$119=$B$38),0),2),"")</f>
        <v/>
      </c>
      <c r="Z38" s="249" t="str">
        <f t="array" ref="Z38">IFERROR(INDEX($AM$20:$AP$119,MATCH(1,(Z$8&gt;=$AO$20:$AO$119)*($AP$20:$AP$119&gt;=Z$8)*($AM$20:$AM$119=$B$38),0),2),"")</f>
        <v/>
      </c>
      <c r="AA38" s="249" t="str">
        <f t="array" ref="AA38">IFERROR(INDEX($AM$20:$AP$119,MATCH(1,(AA$8&gt;=$AO$20:$AO$119)*($AP$20:$AP$119&gt;=AA$8)*($AM$20:$AM$119=$B$38),0),2),"")</f>
        <v/>
      </c>
      <c r="AB38" s="249" t="str">
        <f t="array" ref="AB38">IFERROR(INDEX($AM$20:$AP$119,MATCH(1,(AB$8&gt;=$AO$20:$AO$119)*($AP$20:$AP$119&gt;=AB$8)*($AM$20:$AM$119=$B$38),0),2),"")</f>
        <v/>
      </c>
      <c r="AC38" s="249" t="str">
        <f t="array" ref="AC38">IFERROR(INDEX($AM$20:$AP$119,MATCH(1,(AC$8&gt;=$AO$20:$AO$119)*($AP$20:$AP$119&gt;=AC$8)*($AM$20:$AM$119=$B$38),0),2),"")</f>
        <v/>
      </c>
      <c r="AD38" s="249" t="str">
        <f t="array" ref="AD38">IFERROR(INDEX($AM$20:$AP$119,MATCH(1,(AD$8&gt;=$AO$20:$AO$119)*($AP$20:$AP$119&gt;=AD$8)*($AM$20:$AM$119=$B$38),0),2),"")</f>
        <v/>
      </c>
      <c r="AE38" s="249" t="str">
        <f t="array" ref="AE38">IFERROR(INDEX($AM$20:$AP$119,MATCH(1,(AE$8&gt;=$AO$20:$AO$119)*($AP$20:$AP$119&gt;=AE$8)*($AM$20:$AM$119=$B$38),0),2),"")</f>
        <v/>
      </c>
      <c r="AF38" s="249" t="str">
        <f t="array" ref="AF38">IFERROR(INDEX($AM$20:$AP$119,MATCH(1,(AF$8&gt;=$AO$20:$AO$119)*($AP$20:$AP$119&gt;=AF$8)*($AM$20:$AM$119=$B$38),0),2),"")</f>
        <v/>
      </c>
      <c r="AG38" s="249" t="str">
        <f t="array" ref="AG38">IFERROR(INDEX($AM$20:$AP$119,MATCH(1,(AG$8&gt;=$AO$20:$AO$119)*($AP$20:$AP$119&gt;=AG$8)*($AM$20:$AM$119=$B$38),0),2),"")</f>
        <v/>
      </c>
      <c r="AH38" s="256" t="str">
        <f>B38</f>
        <v>viviane</v>
      </c>
      <c r="AI38" s="255">
        <f>COUNTIF(C38:AG38,$AI$10)</f>
        <v>0</v>
      </c>
      <c r="AJ38" s="13"/>
      <c r="AK38" s="1511"/>
      <c r="AL38" s="13">
        <v>19</v>
      </c>
      <c r="AM38" s="11"/>
      <c r="AN38" s="23"/>
      <c r="AO38" s="31"/>
      <c r="AP38" s="31"/>
      <c r="AQ38" s="635">
        <f>Absences26810121424[[#This Row],[debut]]</f>
        <v>0</v>
      </c>
      <c r="AR38" s="13"/>
      <c r="AS38" s="13"/>
      <c r="AT38" s="13"/>
      <c r="AU38" s="13"/>
      <c r="AV38" s="70"/>
      <c r="AW38" s="57"/>
      <c r="AX38" s="57"/>
      <c r="AY38" s="57"/>
      <c r="AZ38" s="54"/>
      <c r="BA38" s="54"/>
      <c r="BB38" s="54"/>
      <c r="BC38" s="55"/>
      <c r="BD38" s="56"/>
      <c r="BE38" s="56"/>
      <c r="BF38" s="56"/>
      <c r="BG38" s="56"/>
      <c r="BI38" s="290"/>
      <c r="BJ38" s="353" t="s">
        <v>528</v>
      </c>
      <c r="BK38" s="315" t="s">
        <v>529</v>
      </c>
      <c r="BL38" s="294"/>
      <c r="BM38" s="294"/>
      <c r="BN38" s="294"/>
      <c r="BO38" s="294"/>
      <c r="BP38" s="316"/>
      <c r="BQ38" s="333" t="s">
        <v>676</v>
      </c>
      <c r="BR38" s="340">
        <v>20</v>
      </c>
      <c r="BS38" s="335">
        <v>0.29166666666666669</v>
      </c>
      <c r="BT38" s="336">
        <v>0.5625</v>
      </c>
      <c r="BU38" s="337">
        <v>1</v>
      </c>
      <c r="BV38" s="338">
        <f t="shared" si="6"/>
        <v>0.24999999999999997</v>
      </c>
      <c r="BW38" s="294"/>
      <c r="BX38" s="313"/>
    </row>
    <row r="39" spans="1:83" ht="16.5" customHeight="1" thickBot="1" x14ac:dyDescent="0.3">
      <c r="A39" s="13"/>
      <c r="B39" s="43">
        <f>COUNTA(C39:AG39)</f>
        <v>0</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706">
        <f>COUNTIF(C38:AG38,$AH$11)</f>
        <v>0</v>
      </c>
      <c r="AI39" s="708">
        <f>COUNTIF(C38:AG38,$AI$11)</f>
        <v>0</v>
      </c>
      <c r="AJ39" s="13"/>
      <c r="AK39" s="1511"/>
      <c r="AL39" s="13">
        <v>20</v>
      </c>
      <c r="AM39" s="11"/>
      <c r="AN39" s="23"/>
      <c r="AO39" s="31"/>
      <c r="AP39" s="31"/>
      <c r="AQ39" s="635">
        <f>Absences26810121424[[#This Row],[debut]]</f>
        <v>0</v>
      </c>
      <c r="AR39" s="13"/>
      <c r="AS39" s="13"/>
      <c r="AT39" s="13"/>
      <c r="AU39" s="13"/>
      <c r="AV39" s="94" t="s">
        <v>93</v>
      </c>
      <c r="AW39" s="50">
        <v>0.29166666666666669</v>
      </c>
      <c r="AX39" s="50">
        <v>0.625</v>
      </c>
      <c r="AY39" s="51">
        <v>1</v>
      </c>
      <c r="AZ39" s="52">
        <f>IF(AX39-AW39=0,0,(AX39-AW39)-(AY39*TIMEVALUE("00:30")))</f>
        <v>0.3125</v>
      </c>
      <c r="BA39" s="53" t="s">
        <v>129</v>
      </c>
      <c r="BB39" s="54"/>
      <c r="BC39" s="55"/>
      <c r="BD39" s="56"/>
      <c r="BE39" s="56"/>
      <c r="BF39" s="56"/>
      <c r="BG39" s="56"/>
      <c r="BI39" s="290"/>
      <c r="BJ39" s="354" t="s">
        <v>530</v>
      </c>
      <c r="BK39" s="315" t="s">
        <v>531</v>
      </c>
      <c r="BL39" s="294"/>
      <c r="BM39" s="294"/>
      <c r="BN39" s="294"/>
      <c r="BO39" s="294"/>
      <c r="BP39" s="316"/>
      <c r="BQ39" s="347"/>
      <c r="BR39" s="340">
        <v>21</v>
      </c>
      <c r="BS39" s="335">
        <v>0</v>
      </c>
      <c r="BT39" s="336">
        <v>0</v>
      </c>
      <c r="BU39" s="337">
        <v>0</v>
      </c>
      <c r="BV39" s="338">
        <f t="shared" si="6"/>
        <v>0</v>
      </c>
      <c r="BW39" s="294"/>
      <c r="BX39" s="313"/>
    </row>
    <row r="40" spans="1:83" ht="14.25" customHeight="1" x14ac:dyDescent="0.25">
      <c r="A40" s="13"/>
      <c r="B40" s="696" t="s">
        <v>854</v>
      </c>
      <c r="C40" s="249" t="str">
        <f t="array" ref="C40">IFERROR(INDEX($AM$20:$AP$119,MATCH(1,(C$8&gt;=$AO$20:$AO$119)*($AP$20:$AP$119&gt;=C$8)*($AM$20:$AM$119=$B$40),0),2),"")</f>
        <v/>
      </c>
      <c r="D40" s="249" t="str">
        <f t="array" ref="D40">IFERROR(INDEX($AM$20:$AP$119,MATCH(1,(D$8&gt;=$AO$20:$AO$119)*($AP$20:$AP$119&gt;=D$8)*($AM$20:$AM$119=$B$40),0),2),"")</f>
        <v/>
      </c>
      <c r="E40" s="249" t="str">
        <f t="array" ref="E40">IFERROR(INDEX($AM$20:$AP$119,MATCH(1,(E$8&gt;=$AO$20:$AO$119)*($AP$20:$AP$119&gt;=E$8)*($AM$20:$AM$119=$B$40),0),2),"")</f>
        <v/>
      </c>
      <c r="F40" s="249" t="str">
        <f t="array" ref="F40">IFERROR(INDEX($AM$20:$AP$119,MATCH(1,(F$8&gt;=$AO$20:$AO$119)*($AP$20:$AP$119&gt;=F$8)*($AM$20:$AM$119=$B$40),0),2),"")</f>
        <v/>
      </c>
      <c r="G40" s="249" t="str">
        <f t="array" ref="G40">IFERROR(INDEX($AM$20:$AP$119,MATCH(1,(G$8&gt;=$AO$20:$AO$119)*($AP$20:$AP$119&gt;=G$8)*($AM$20:$AM$119=$B$40),0),2),"")</f>
        <v/>
      </c>
      <c r="H40" s="249" t="str">
        <f t="array" ref="H40">IFERROR(INDEX($AM$20:$AP$119,MATCH(1,(H$8&gt;=$AO$20:$AO$119)*($AP$20:$AP$119&gt;=H$8)*($AM$20:$AM$119=$B$40),0),2),"")</f>
        <v/>
      </c>
      <c r="I40" s="249" t="str">
        <f t="array" ref="I40">IFERROR(INDEX($AM$20:$AP$119,MATCH(1,(I$8&gt;=$AO$20:$AO$119)*($AP$20:$AP$119&gt;=I$8)*($AM$20:$AM$119=$B$40),0),2),"")</f>
        <v/>
      </c>
      <c r="J40" s="249" t="str">
        <f t="array" ref="J40">IFERROR(INDEX($AM$20:$AP$119,MATCH(1,(J$8&gt;=$AO$20:$AO$119)*($AP$20:$AP$119&gt;=J$8)*($AM$20:$AM$119=$B$40),0),2),"")</f>
        <v/>
      </c>
      <c r="K40" s="249" t="str">
        <f t="array" ref="K40">IFERROR(INDEX($AM$20:$AP$119,MATCH(1,(K$8&gt;=$AO$20:$AO$119)*($AP$20:$AP$119&gt;=K$8)*($AM$20:$AM$119=$B$40),0),2),"")</f>
        <v/>
      </c>
      <c r="L40" s="249" t="str">
        <f t="array" ref="L40">IFERROR(INDEX($AM$20:$AP$119,MATCH(1,(L$8&gt;=$AO$20:$AO$119)*($AP$20:$AP$119&gt;=L$8)*($AM$20:$AM$119=$B$40),0),2),"")</f>
        <v/>
      </c>
      <c r="M40" s="249" t="str">
        <f t="array" ref="M40">IFERROR(INDEX($AM$20:$AP$119,MATCH(1,(M$8&gt;=$AO$20:$AO$119)*($AP$20:$AP$119&gt;=M$8)*($AM$20:$AM$119=$B$40),0),2),"")</f>
        <v/>
      </c>
      <c r="N40" s="249" t="str">
        <f t="array" ref="N40">IFERROR(INDEX($AM$20:$AP$119,MATCH(1,(N$8&gt;=$AO$20:$AO$119)*($AP$20:$AP$119&gt;=N$8)*($AM$20:$AM$119=$B$40),0),2),"")</f>
        <v/>
      </c>
      <c r="O40" s="249" t="str">
        <f t="array" ref="O40">IFERROR(INDEX($AM$20:$AP$119,MATCH(1,(O$8&gt;=$AO$20:$AO$119)*($AP$20:$AP$119&gt;=O$8)*($AM$20:$AM$119=$B$40),0),2),"")</f>
        <v/>
      </c>
      <c r="P40" s="249" t="str">
        <f t="array" ref="P40">IFERROR(INDEX($AM$20:$AP$119,MATCH(1,(P$8&gt;=$AO$20:$AO$119)*($AP$20:$AP$119&gt;=P$8)*($AM$20:$AM$119=$B$40),0),2),"")</f>
        <v/>
      </c>
      <c r="Q40" s="249" t="str">
        <f t="array" ref="Q40">IFERROR(INDEX($AM$20:$AP$119,MATCH(1,(Q$8&gt;=$AO$20:$AO$119)*($AP$20:$AP$119&gt;=Q$8)*($AM$20:$AM$119=$B$40),0),2),"")</f>
        <v/>
      </c>
      <c r="R40" s="249" t="str">
        <f t="array" ref="R40">IFERROR(INDEX($AM$20:$AP$119,MATCH(1,(R$8&gt;=$AO$20:$AO$119)*($AP$20:$AP$119&gt;=R$8)*($AM$20:$AM$119=$B$40),0),2),"")</f>
        <v/>
      </c>
      <c r="S40" s="249" t="str">
        <f t="array" ref="S40">IFERROR(INDEX($AM$20:$AP$119,MATCH(1,(S$8&gt;=$AO$20:$AO$119)*($AP$20:$AP$119&gt;=S$8)*($AM$20:$AM$119=$B$40),0),2),"")</f>
        <v/>
      </c>
      <c r="T40" s="249" t="str">
        <f t="array" ref="T40">IFERROR(INDEX($AM$20:$AP$119,MATCH(1,(T$8&gt;=$AO$20:$AO$119)*($AP$20:$AP$119&gt;=T$8)*($AM$20:$AM$119=$B$40),0),2),"")</f>
        <v/>
      </c>
      <c r="U40" s="249" t="str">
        <f t="array" ref="U40">IFERROR(INDEX($AM$20:$AP$119,MATCH(1,(U$8&gt;=$AO$20:$AO$119)*($AP$20:$AP$119&gt;=U$8)*($AM$20:$AM$119=$B$40),0),2),"")</f>
        <v/>
      </c>
      <c r="V40" s="249" t="str">
        <f t="array" ref="V40">IFERROR(INDEX($AM$20:$AP$119,MATCH(1,(V$8&gt;=$AO$20:$AO$119)*($AP$20:$AP$119&gt;=V$8)*($AM$20:$AM$119=$B$40),0),2),"")</f>
        <v/>
      </c>
      <c r="W40" s="249" t="str">
        <f t="array" ref="W40">IFERROR(INDEX($AM$20:$AP$119,MATCH(1,(W$8&gt;=$AO$20:$AO$119)*($AP$20:$AP$119&gt;=W$8)*($AM$20:$AM$119=$B$40),0),2),"")</f>
        <v/>
      </c>
      <c r="X40" s="249" t="str">
        <f t="array" ref="X40">IFERROR(INDEX($AM$20:$AP$119,MATCH(1,(X$8&gt;=$AO$20:$AO$119)*($AP$20:$AP$119&gt;=X$8)*($AM$20:$AM$119=$B$40),0),2),"")</f>
        <v/>
      </c>
      <c r="Y40" s="249" t="str">
        <f t="array" ref="Y40">IFERROR(INDEX($AM$20:$AP$119,MATCH(1,(Y$8&gt;=$AO$20:$AO$119)*($AP$20:$AP$119&gt;=Y$8)*($AM$20:$AM$119=$B$40),0),2),"")</f>
        <v/>
      </c>
      <c r="Z40" s="249" t="str">
        <f t="array" ref="Z40">IFERROR(INDEX($AM$20:$AP$119,MATCH(1,(Z$8&gt;=$AO$20:$AO$119)*($AP$20:$AP$119&gt;=Z$8)*($AM$20:$AM$119=$B$40),0),2),"")</f>
        <v/>
      </c>
      <c r="AA40" s="249" t="str">
        <f t="array" ref="AA40">IFERROR(INDEX($AM$20:$AP$119,MATCH(1,(AA$8&gt;=$AO$20:$AO$119)*($AP$20:$AP$119&gt;=AA$8)*($AM$20:$AM$119=$B$40),0),2),"")</f>
        <v/>
      </c>
      <c r="AB40" s="249" t="str">
        <f t="array" ref="AB40">IFERROR(INDEX($AM$20:$AP$119,MATCH(1,(AB$8&gt;=$AO$20:$AO$119)*($AP$20:$AP$119&gt;=AB$8)*($AM$20:$AM$119=$B$40),0),2),"")</f>
        <v/>
      </c>
      <c r="AC40" s="249" t="str">
        <f t="array" ref="AC40">IFERROR(INDEX($AM$20:$AP$119,MATCH(1,(AC$8&gt;=$AO$20:$AO$119)*($AP$20:$AP$119&gt;=AC$8)*($AM$20:$AM$119=$B$40),0),2),"")</f>
        <v/>
      </c>
      <c r="AD40" s="249" t="str">
        <f t="array" ref="AD40">IFERROR(INDEX($AM$20:$AP$119,MATCH(1,(AD$8&gt;=$AO$20:$AO$119)*($AP$20:$AP$119&gt;=AD$8)*($AM$20:$AM$119=$B$40),0),2),"")</f>
        <v/>
      </c>
      <c r="AE40" s="249" t="str">
        <f t="array" ref="AE40">IFERROR(INDEX($AM$20:$AP$119,MATCH(1,(AE$8&gt;=$AO$20:$AO$119)*($AP$20:$AP$119&gt;=AE$8)*($AM$20:$AM$119=$B$40),0),2),"")</f>
        <v/>
      </c>
      <c r="AF40" s="249" t="str">
        <f t="array" ref="AF40">IFERROR(INDEX($AM$20:$AP$119,MATCH(1,(AF$8&gt;=$AO$20:$AO$119)*($AP$20:$AP$119&gt;=AF$8)*($AM$20:$AM$119=$B$40),0),2),"")</f>
        <v/>
      </c>
      <c r="AG40" s="249" t="str">
        <f t="array" ref="AG40">IFERROR(INDEX($AM$20:$AP$119,MATCH(1,(AG$8&gt;=$AO$20:$AO$119)*($AP$20:$AP$119&gt;=AG$8)*($AM$20:$AM$119=$B$40),0),2),"")</f>
        <v/>
      </c>
      <c r="AH40" s="256" t="str">
        <f>B40</f>
        <v>yves</v>
      </c>
      <c r="AI40" s="255">
        <f>COUNTIF(C40:AG40,$AI$10)</f>
        <v>0</v>
      </c>
      <c r="AJ40" s="13"/>
      <c r="AK40" s="13"/>
      <c r="AL40" s="13">
        <v>21</v>
      </c>
      <c r="AM40" s="11"/>
      <c r="AN40" s="23"/>
      <c r="AO40" s="31"/>
      <c r="AP40" s="31"/>
      <c r="AQ40" s="635">
        <f>Absences26810121424[[#This Row],[debut]]</f>
        <v>0</v>
      </c>
      <c r="AR40" s="13"/>
      <c r="AS40" s="13"/>
      <c r="AT40" s="13"/>
      <c r="AU40" s="13"/>
      <c r="AV40" s="70"/>
      <c r="AW40" s="57"/>
      <c r="AX40" s="57"/>
      <c r="AY40" s="57"/>
      <c r="AZ40" s="54"/>
      <c r="BA40" s="54"/>
      <c r="BB40" s="54"/>
      <c r="BC40" s="55"/>
      <c r="BD40" s="56"/>
      <c r="BE40" s="56"/>
      <c r="BF40" s="56"/>
      <c r="BG40" s="56"/>
      <c r="BI40" s="290"/>
      <c r="BJ40" s="353" t="s">
        <v>532</v>
      </c>
      <c r="BK40" s="315" t="s">
        <v>533</v>
      </c>
      <c r="BL40" s="294"/>
      <c r="BM40" s="294"/>
      <c r="BN40" s="294"/>
      <c r="BO40" s="294"/>
      <c r="BP40" s="316"/>
      <c r="BQ40" s="333" t="s">
        <v>677</v>
      </c>
      <c r="BR40" s="340">
        <v>22</v>
      </c>
      <c r="BS40" s="335">
        <v>0.60416666666666663</v>
      </c>
      <c r="BT40" s="336">
        <v>0.77083333333333337</v>
      </c>
      <c r="BU40" s="337">
        <v>0</v>
      </c>
      <c r="BV40" s="338">
        <f t="shared" si="6"/>
        <v>0.16666666666666674</v>
      </c>
      <c r="BW40" s="294"/>
      <c r="BX40" s="313"/>
    </row>
    <row r="41" spans="1:83" ht="16.5" customHeight="1" thickBot="1" x14ac:dyDescent="0.3">
      <c r="A41" s="13"/>
      <c r="B41" s="43">
        <f>COUNTA(C41:AG41)</f>
        <v>0</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706">
        <f>COUNTIF(C40:AG40,$AH$11)</f>
        <v>0</v>
      </c>
      <c r="AI41" s="708">
        <f>COUNTIF(C40:AG40,$AI$11)</f>
        <v>0</v>
      </c>
      <c r="AJ41" s="13"/>
      <c r="AK41" s="13"/>
      <c r="AL41" s="13">
        <v>22</v>
      </c>
      <c r="AM41" s="11"/>
      <c r="AN41" s="23"/>
      <c r="AO41" s="31"/>
      <c r="AP41" s="31"/>
      <c r="AQ41" s="635">
        <f>Absences26810121424[[#This Row],[debut]]</f>
        <v>0</v>
      </c>
      <c r="AR41" s="13"/>
      <c r="AS41" s="13"/>
      <c r="AT41" s="13"/>
      <c r="AU41" s="13"/>
      <c r="AV41" s="94" t="s">
        <v>94</v>
      </c>
      <c r="AW41" s="50">
        <v>0.27083333333333331</v>
      </c>
      <c r="AX41" s="50">
        <v>0.60416666666666663</v>
      </c>
      <c r="AY41" s="51">
        <v>1</v>
      </c>
      <c r="AZ41" s="52">
        <f>IF(AX41-AW41=0,0,(AX41-AW41)-(AY41*TIMEVALUE("00:30")))</f>
        <v>0.3125</v>
      </c>
      <c r="BA41" s="53" t="s">
        <v>72</v>
      </c>
      <c r="BB41" s="54"/>
      <c r="BC41" s="55"/>
      <c r="BD41" s="56"/>
      <c r="BE41" s="56"/>
      <c r="BF41" s="56"/>
      <c r="BG41" s="56"/>
      <c r="BI41" s="290"/>
      <c r="BJ41" s="353" t="s">
        <v>534</v>
      </c>
      <c r="BK41" s="315" t="s">
        <v>535</v>
      </c>
      <c r="BL41" s="294"/>
      <c r="BM41" s="294"/>
      <c r="BN41" s="294"/>
      <c r="BO41" s="294"/>
      <c r="BP41" s="316"/>
      <c r="BQ41" s="333" t="s">
        <v>678</v>
      </c>
      <c r="BR41" s="341">
        <v>23</v>
      </c>
      <c r="BS41" s="342">
        <v>0.60416666666666663</v>
      </c>
      <c r="BT41" s="343">
        <v>0.64583333333333337</v>
      </c>
      <c r="BU41" s="344">
        <v>0</v>
      </c>
      <c r="BV41" s="345">
        <f t="shared" si="6"/>
        <v>4.1666666666666741E-2</v>
      </c>
      <c r="BW41" s="294"/>
      <c r="BX41" s="313"/>
    </row>
    <row r="42" spans="1:83" ht="2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v>23</v>
      </c>
      <c r="AM42" s="11"/>
      <c r="AN42" s="23"/>
      <c r="AO42" s="31"/>
      <c r="AP42" s="31"/>
      <c r="AQ42" s="635">
        <f>Absences26810121424[[#This Row],[debut]]</f>
        <v>0</v>
      </c>
      <c r="AV42" s="70"/>
      <c r="AW42" s="57"/>
      <c r="AX42" s="57"/>
      <c r="AY42" s="57"/>
      <c r="AZ42" s="54"/>
      <c r="BA42" s="54"/>
      <c r="BB42" s="54"/>
      <c r="BC42" s="55"/>
      <c r="BD42" s="56"/>
      <c r="BE42" s="56"/>
      <c r="BF42" s="56"/>
      <c r="BG42" s="56"/>
      <c r="BI42" s="290"/>
      <c r="BJ42" s="354" t="s">
        <v>536</v>
      </c>
      <c r="BK42" s="315" t="s">
        <v>537</v>
      </c>
      <c r="BL42" s="294"/>
      <c r="BM42" s="294"/>
      <c r="BN42" s="294"/>
      <c r="BO42" s="294"/>
      <c r="BP42" s="316"/>
      <c r="BQ42" s="346" t="s">
        <v>679</v>
      </c>
      <c r="BR42" s="340">
        <v>24</v>
      </c>
      <c r="BS42" s="335">
        <v>0</v>
      </c>
      <c r="BT42" s="336">
        <v>0</v>
      </c>
      <c r="BU42" s="337">
        <v>0</v>
      </c>
      <c r="BV42" s="338">
        <f t="shared" si="6"/>
        <v>0</v>
      </c>
      <c r="BW42" s="294"/>
      <c r="BX42" s="313"/>
    </row>
    <row r="43" spans="1:83" ht="24" thickBot="1" x14ac:dyDescent="0.3">
      <c r="A43" s="13"/>
      <c r="B43" s="18"/>
      <c r="C43" s="616" t="s">
        <v>801</v>
      </c>
      <c r="D43" s="18"/>
      <c r="E43" s="18"/>
      <c r="F43" s="18"/>
      <c r="G43" s="18"/>
      <c r="H43" s="18"/>
      <c r="I43" s="18"/>
      <c r="J43" s="18"/>
      <c r="K43" s="18"/>
      <c r="L43" s="18"/>
      <c r="M43" s="18"/>
      <c r="N43" s="18"/>
      <c r="O43" s="18"/>
      <c r="P43" s="18"/>
      <c r="Q43" s="18"/>
      <c r="R43" s="18"/>
      <c r="S43" s="13"/>
      <c r="T43" s="13"/>
      <c r="U43" s="13"/>
      <c r="V43" s="13"/>
      <c r="W43" s="13"/>
      <c r="X43" s="13"/>
      <c r="Y43" s="13"/>
      <c r="Z43" s="13"/>
      <c r="AA43" s="13"/>
      <c r="AB43" s="13"/>
      <c r="AC43" s="13"/>
      <c r="AD43" s="13"/>
      <c r="AE43" s="13"/>
      <c r="AF43" s="13"/>
      <c r="AG43" s="13"/>
      <c r="AH43" s="13"/>
      <c r="AI43" s="13"/>
      <c r="AJ43" s="13"/>
      <c r="AK43" s="13"/>
      <c r="AL43" s="13">
        <v>24</v>
      </c>
      <c r="AM43" s="11"/>
      <c r="AN43" s="23"/>
      <c r="AO43" s="31"/>
      <c r="AP43" s="31"/>
      <c r="AQ43" s="635">
        <f>Absences26810121424[[#This Row],[debut]]</f>
        <v>0</v>
      </c>
      <c r="AV43" s="94" t="s">
        <v>95</v>
      </c>
      <c r="AW43" s="50">
        <v>0.27083333333333331</v>
      </c>
      <c r="AX43" s="50">
        <v>0.60416666666666663</v>
      </c>
      <c r="AY43" s="51">
        <v>1</v>
      </c>
      <c r="AZ43" s="52">
        <f>IF(AX43-AW43=0,0,(AX43-AW43)-(AY43*TIMEVALUE("00:30")))</f>
        <v>0.3125</v>
      </c>
      <c r="BA43" s="53" t="s">
        <v>73</v>
      </c>
      <c r="BB43" s="54"/>
      <c r="BC43" s="55"/>
      <c r="BD43" s="56"/>
      <c r="BE43" s="56"/>
      <c r="BF43" s="56"/>
      <c r="BG43" s="56"/>
      <c r="BI43" s="290"/>
      <c r="BJ43" s="294"/>
      <c r="BK43" s="294"/>
      <c r="BL43" s="294"/>
      <c r="BM43" s="294"/>
      <c r="BN43" s="294"/>
      <c r="BO43" s="294"/>
      <c r="BP43" s="294"/>
      <c r="BQ43" s="294"/>
      <c r="BR43" s="294"/>
      <c r="BS43" s="294"/>
      <c r="BT43" s="294"/>
      <c r="BU43" s="294"/>
      <c r="BV43" s="294"/>
      <c r="BW43" s="294"/>
      <c r="BX43" s="313"/>
    </row>
    <row r="44" spans="1:83" x14ac:dyDescent="0.25">
      <c r="A44" s="13"/>
      <c r="B44" s="18"/>
      <c r="C44" s="614" t="s">
        <v>815</v>
      </c>
      <c r="D44" s="614"/>
      <c r="E44" s="614"/>
      <c r="F44" s="614"/>
      <c r="G44" s="614"/>
      <c r="H44" s="614"/>
      <c r="I44" s="614"/>
      <c r="J44" s="614"/>
      <c r="K44" s="614"/>
      <c r="L44" s="614"/>
      <c r="M44" s="614"/>
      <c r="N44" s="614"/>
      <c r="O44" s="614"/>
      <c r="P44" s="18"/>
      <c r="Q44" s="18"/>
      <c r="R44" s="18"/>
      <c r="S44" s="13"/>
      <c r="T44" s="13"/>
      <c r="U44" s="13"/>
      <c r="V44" s="13"/>
      <c r="W44" s="13"/>
      <c r="X44" s="13"/>
      <c r="Y44" s="13"/>
      <c r="Z44" s="13"/>
      <c r="AA44" s="13"/>
      <c r="AB44" s="13"/>
      <c r="AC44" s="13"/>
      <c r="AD44" s="13"/>
      <c r="AE44" s="13"/>
      <c r="AF44" s="13"/>
      <c r="AG44" s="13"/>
      <c r="AH44" s="13"/>
      <c r="AI44" s="13"/>
      <c r="AJ44" s="13"/>
      <c r="AK44" s="13"/>
      <c r="AL44" s="13">
        <v>25</v>
      </c>
      <c r="AM44" s="11"/>
      <c r="AN44" s="23"/>
      <c r="AO44" s="31"/>
      <c r="AP44" s="31"/>
      <c r="AQ44" s="635">
        <f>Absences26810121424[[#This Row],[debut]]</f>
        <v>0</v>
      </c>
      <c r="AV44" s="70"/>
      <c r="AW44" s="57"/>
      <c r="AX44" s="57"/>
      <c r="AY44" s="57"/>
      <c r="AZ44" s="54"/>
      <c r="BA44" s="54"/>
      <c r="BB44" s="54"/>
      <c r="BC44" s="55"/>
      <c r="BD44" s="56"/>
      <c r="BE44" s="56"/>
      <c r="BF44" s="56"/>
      <c r="BG44" s="56"/>
      <c r="BI44" s="290"/>
      <c r="BJ44" s="294"/>
      <c r="BK44" s="294"/>
      <c r="BL44" s="294"/>
      <c r="BM44" s="294"/>
      <c r="BN44" s="294"/>
      <c r="BO44" s="294"/>
      <c r="BP44" s="294"/>
      <c r="BQ44" s="294"/>
      <c r="BR44" s="294"/>
      <c r="BS44" s="294"/>
      <c r="BT44" s="294"/>
      <c r="BU44" s="294"/>
      <c r="BV44" s="294"/>
      <c r="BW44" s="294"/>
      <c r="BX44" s="313"/>
    </row>
    <row r="45" spans="1:83" ht="16.5" thickBot="1" x14ac:dyDescent="0.3">
      <c r="A45" s="13"/>
      <c r="C45" s="634" t="s">
        <v>814</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v>26</v>
      </c>
      <c r="AM45" s="11"/>
      <c r="AN45" s="23"/>
      <c r="AO45" s="31"/>
      <c r="AP45" s="31"/>
      <c r="AQ45" s="635">
        <f>Absences26810121424[[#This Row],[debut]]</f>
        <v>0</v>
      </c>
      <c r="AV45" s="94" t="s">
        <v>96</v>
      </c>
      <c r="AW45" s="50">
        <v>0.27083333333333331</v>
      </c>
      <c r="AX45" s="50">
        <v>0.60416666666666663</v>
      </c>
      <c r="AY45" s="51">
        <v>1</v>
      </c>
      <c r="AZ45" s="52">
        <f>IF(AX45-AW45=0,0,(AX45-AW45)-(AY45*TIMEVALUE("00:30")))</f>
        <v>0.3125</v>
      </c>
      <c r="BA45" s="53" t="s">
        <v>130</v>
      </c>
      <c r="BB45" s="54"/>
      <c r="BC45" s="55"/>
      <c r="BD45" s="56"/>
      <c r="BE45" s="56"/>
      <c r="BF45" s="56"/>
      <c r="BG45" s="56"/>
      <c r="BI45" s="290"/>
      <c r="BJ45" s="294"/>
      <c r="BK45" s="294"/>
      <c r="BL45" s="294"/>
      <c r="BM45" s="294"/>
      <c r="BN45" s="294"/>
      <c r="BO45" s="294"/>
      <c r="BP45" s="294"/>
      <c r="BQ45" s="294"/>
      <c r="BR45" s="294"/>
      <c r="BS45" s="294"/>
      <c r="BT45" s="294"/>
      <c r="BU45" s="294"/>
      <c r="BV45" s="294"/>
      <c r="BW45" s="294"/>
      <c r="BX45" s="313"/>
    </row>
    <row r="46" spans="1:83" x14ac:dyDescent="0.25">
      <c r="A46" s="13"/>
      <c r="B46" s="620" t="s">
        <v>184</v>
      </c>
      <c r="C46" s="617" t="s">
        <v>0</v>
      </c>
      <c r="D46" s="18" t="s">
        <v>866</v>
      </c>
      <c r="E46" s="18"/>
      <c r="F46" s="18"/>
      <c r="G46" s="18"/>
      <c r="H46" s="18"/>
      <c r="I46" s="18"/>
      <c r="J46" s="18"/>
      <c r="K46" s="18"/>
      <c r="L46" s="18"/>
      <c r="M46" s="18"/>
      <c r="N46" s="18"/>
      <c r="O46" s="18"/>
      <c r="P46" s="18"/>
      <c r="Q46" s="18"/>
      <c r="R46" s="18"/>
      <c r="S46" s="13"/>
      <c r="T46" s="13" t="s">
        <v>811</v>
      </c>
      <c r="U46" s="13"/>
      <c r="V46" s="13"/>
      <c r="W46" s="13"/>
      <c r="X46" s="13"/>
      <c r="Y46" s="13"/>
      <c r="Z46" s="13"/>
      <c r="AA46" s="13"/>
      <c r="AB46" s="13"/>
      <c r="AC46" s="13"/>
      <c r="AD46" s="13"/>
      <c r="AE46" s="13"/>
      <c r="AF46" s="13"/>
      <c r="AG46" s="13"/>
      <c r="AH46" s="13"/>
      <c r="AI46" s="13"/>
      <c r="AJ46" s="13"/>
      <c r="AK46" s="13"/>
      <c r="AL46" s="13">
        <v>27</v>
      </c>
      <c r="AM46" s="11"/>
      <c r="AN46" s="23"/>
      <c r="AO46" s="31"/>
      <c r="AP46" s="31"/>
      <c r="AQ46" s="635">
        <f>Absences26810121424[[#This Row],[debut]]</f>
        <v>0</v>
      </c>
      <c r="AV46" s="70"/>
      <c r="AW46" s="57"/>
      <c r="AX46" s="57"/>
      <c r="AY46" s="57"/>
      <c r="AZ46" s="54"/>
      <c r="BA46" s="54"/>
      <c r="BB46" s="54"/>
      <c r="BC46" s="55"/>
      <c r="BD46" s="56"/>
      <c r="BE46" s="56"/>
      <c r="BF46" s="56"/>
      <c r="BG46" s="56"/>
      <c r="BI46" s="290"/>
      <c r="BJ46" s="294"/>
      <c r="BK46" s="294"/>
      <c r="BL46" s="294"/>
      <c r="BM46" s="294"/>
      <c r="BN46" s="294"/>
      <c r="BO46" s="294"/>
      <c r="BP46" s="294"/>
      <c r="BQ46" s="294"/>
      <c r="BR46" s="294"/>
      <c r="BS46" s="294"/>
      <c r="BT46" s="294"/>
      <c r="BU46" s="294"/>
      <c r="BV46" s="294"/>
      <c r="BW46" s="294"/>
      <c r="BX46" s="313"/>
    </row>
    <row r="47" spans="1:83" ht="16.5" thickBot="1" x14ac:dyDescent="0.3">
      <c r="A47" s="13"/>
      <c r="B47" s="620" t="s">
        <v>185</v>
      </c>
      <c r="C47" s="612" t="s">
        <v>3</v>
      </c>
      <c r="D47" s="18" t="s">
        <v>802</v>
      </c>
      <c r="E47" s="18"/>
      <c r="F47" s="18"/>
      <c r="G47" s="18"/>
      <c r="H47" s="18"/>
      <c r="I47" s="18"/>
      <c r="J47" s="18"/>
      <c r="K47" s="18"/>
      <c r="L47" s="18"/>
      <c r="M47" s="18"/>
      <c r="N47" s="18"/>
      <c r="O47" s="18"/>
      <c r="P47" s="18"/>
      <c r="Q47" s="18"/>
      <c r="R47" s="18"/>
      <c r="S47" s="13"/>
      <c r="T47" s="13" t="s">
        <v>787</v>
      </c>
      <c r="U47" s="13"/>
      <c r="V47" s="13"/>
      <c r="W47" s="13"/>
      <c r="X47" s="13"/>
      <c r="Y47" s="13"/>
      <c r="Z47" s="13"/>
      <c r="AA47" s="13"/>
      <c r="AB47" s="13"/>
      <c r="AC47" s="13"/>
      <c r="AD47" s="13"/>
      <c r="AE47" s="13"/>
      <c r="AF47" s="13"/>
      <c r="AG47" s="13"/>
      <c r="AH47" s="13"/>
      <c r="AI47" s="13"/>
      <c r="AJ47" s="13"/>
      <c r="AK47" s="13"/>
      <c r="AL47" s="13">
        <v>28</v>
      </c>
      <c r="AM47" s="11"/>
      <c r="AN47" s="23"/>
      <c r="AO47" s="31"/>
      <c r="AP47" s="31"/>
      <c r="AQ47" s="635">
        <f>Absences26810121424[[#This Row],[debut]]</f>
        <v>0</v>
      </c>
      <c r="AV47" s="94" t="s">
        <v>97</v>
      </c>
      <c r="AW47" s="50">
        <v>0.27083333333333331</v>
      </c>
      <c r="AX47" s="50">
        <v>0.60416666666666663</v>
      </c>
      <c r="AY47" s="51">
        <v>1</v>
      </c>
      <c r="AZ47" s="52">
        <f>IF(AX47-AW47=0,0,(AX47-AW47)-(AY47*TIMEVALUE("00:30")))</f>
        <v>0.3125</v>
      </c>
      <c r="BA47" s="53" t="s">
        <v>74</v>
      </c>
      <c r="BB47" s="54"/>
      <c r="BC47" s="55"/>
      <c r="BD47" s="56"/>
      <c r="BE47" s="56"/>
      <c r="BF47" s="56"/>
      <c r="BG47" s="56"/>
      <c r="BI47" s="290"/>
      <c r="BJ47" s="294"/>
      <c r="BK47" s="294"/>
      <c r="BL47" s="294"/>
      <c r="BM47" s="294"/>
      <c r="BN47" s="294"/>
      <c r="BO47" s="294"/>
      <c r="BP47" s="294"/>
      <c r="BQ47" s="294"/>
      <c r="BR47" s="294"/>
      <c r="BS47" s="294"/>
      <c r="BT47" s="294"/>
      <c r="BU47" s="294"/>
      <c r="BV47" s="294"/>
      <c r="BW47" s="294"/>
      <c r="BX47" s="313"/>
    </row>
    <row r="48" spans="1:83" x14ac:dyDescent="0.25">
      <c r="A48" s="13"/>
      <c r="B48" s="621"/>
      <c r="C48" s="18"/>
      <c r="D48" s="18" t="s">
        <v>805</v>
      </c>
      <c r="E48" s="18"/>
      <c r="F48" s="18"/>
      <c r="G48" s="18"/>
      <c r="H48" s="18"/>
      <c r="I48" s="18"/>
      <c r="J48" s="18"/>
      <c r="K48" s="18"/>
      <c r="L48" s="18"/>
      <c r="M48" s="93"/>
      <c r="N48" s="618"/>
      <c r="O48" s="18"/>
      <c r="P48" s="18"/>
      <c r="Q48" s="18"/>
      <c r="R48" s="18"/>
      <c r="S48" s="13"/>
      <c r="T48" s="13" t="s">
        <v>791</v>
      </c>
      <c r="U48" s="13"/>
      <c r="V48" s="13"/>
      <c r="W48" s="13"/>
      <c r="X48" s="13"/>
      <c r="Y48" s="13"/>
      <c r="Z48" s="13"/>
      <c r="AA48" s="13"/>
      <c r="AB48" s="13"/>
      <c r="AC48" s="13"/>
      <c r="AD48" s="13"/>
      <c r="AE48" s="13"/>
      <c r="AF48" s="13"/>
      <c r="AG48" s="13"/>
      <c r="AH48" s="13"/>
      <c r="AI48" s="13"/>
      <c r="AJ48" s="13"/>
      <c r="AK48" s="13"/>
      <c r="AL48" s="13">
        <v>29</v>
      </c>
      <c r="AM48" s="11"/>
      <c r="AN48" s="23"/>
      <c r="AO48" s="31"/>
      <c r="AP48" s="31"/>
      <c r="AQ48" s="635">
        <f>Absences26810121424[[#This Row],[debut]]</f>
        <v>0</v>
      </c>
      <c r="AV48" s="1506" t="s">
        <v>131</v>
      </c>
      <c r="AW48" s="1506"/>
      <c r="AX48" s="1506"/>
      <c r="AY48" s="1506"/>
      <c r="AZ48" s="1506"/>
      <c r="BA48" s="1506"/>
      <c r="BB48" s="1506"/>
      <c r="BC48" s="1506"/>
      <c r="BD48" s="1506"/>
      <c r="BE48" s="1506"/>
      <c r="BF48" s="1506"/>
      <c r="BG48" s="1506"/>
      <c r="BI48" s="290"/>
      <c r="BJ48" s="294"/>
      <c r="BK48" s="294"/>
      <c r="BL48" s="294"/>
      <c r="BM48" s="294"/>
      <c r="BN48" s="294"/>
      <c r="BO48" s="294"/>
      <c r="BP48" s="294"/>
      <c r="BQ48" s="294"/>
      <c r="BR48" s="294"/>
      <c r="BS48" s="294"/>
      <c r="BT48" s="294"/>
      <c r="BU48" s="294"/>
      <c r="BV48" s="294"/>
      <c r="BW48" s="294"/>
      <c r="BX48" s="313"/>
    </row>
    <row r="49" spans="1:76" x14ac:dyDescent="0.25">
      <c r="A49" s="13"/>
      <c r="B49" s="620" t="s">
        <v>186</v>
      </c>
      <c r="C49" s="612" t="s">
        <v>1</v>
      </c>
      <c r="D49" s="626" t="s">
        <v>2</v>
      </c>
      <c r="E49" s="18" t="s">
        <v>828</v>
      </c>
      <c r="F49" s="18"/>
      <c r="G49" s="18"/>
      <c r="H49" s="18"/>
      <c r="I49" s="18"/>
      <c r="J49" s="18"/>
      <c r="K49" s="18"/>
      <c r="L49" s="18"/>
      <c r="M49" s="18"/>
      <c r="N49" s="18"/>
      <c r="O49" s="18"/>
      <c r="P49" s="18"/>
      <c r="Q49" s="18"/>
      <c r="R49" s="18"/>
      <c r="S49" s="13"/>
      <c r="T49" s="13" t="s">
        <v>788</v>
      </c>
      <c r="U49" s="13"/>
      <c r="V49" s="13"/>
      <c r="W49" s="13"/>
      <c r="X49" s="13"/>
      <c r="Y49" s="13"/>
      <c r="Z49" s="13"/>
      <c r="AA49" s="13"/>
      <c r="AB49" s="13"/>
      <c r="AC49" s="13"/>
      <c r="AD49" s="13"/>
      <c r="AE49" s="13"/>
      <c r="AF49" s="13"/>
      <c r="AG49" s="13"/>
      <c r="AH49" s="13"/>
      <c r="AI49" s="13"/>
      <c r="AJ49" s="13"/>
      <c r="AK49" s="13"/>
      <c r="AL49" s="13">
        <v>30</v>
      </c>
      <c r="AM49" s="11"/>
      <c r="AN49" s="23"/>
      <c r="AO49" s="31"/>
      <c r="AP49" s="31"/>
      <c r="AQ49" s="635">
        <f>Absences26810121424[[#This Row],[debut]]</f>
        <v>0</v>
      </c>
      <c r="AV49" s="1506"/>
      <c r="AW49" s="1506"/>
      <c r="AX49" s="1506"/>
      <c r="AY49" s="1506"/>
      <c r="AZ49" s="1506"/>
      <c r="BA49" s="1506"/>
      <c r="BB49" s="1506"/>
      <c r="BC49" s="1506"/>
      <c r="BD49" s="1506"/>
      <c r="BE49" s="1506"/>
      <c r="BF49" s="1506"/>
      <c r="BG49" s="1506"/>
      <c r="BI49" s="290"/>
      <c r="BJ49" s="294"/>
      <c r="BK49" s="294"/>
      <c r="BL49" s="294"/>
      <c r="BM49" s="294"/>
      <c r="BN49" s="294"/>
      <c r="BO49" s="294"/>
      <c r="BP49" s="294"/>
      <c r="BQ49" s="294"/>
      <c r="BR49" s="294"/>
      <c r="BS49" s="294"/>
      <c r="BT49" s="294"/>
      <c r="BU49" s="294"/>
      <c r="BV49" s="294"/>
      <c r="BW49" s="294"/>
      <c r="BX49" s="313"/>
    </row>
    <row r="50" spans="1:76" x14ac:dyDescent="0.25">
      <c r="A50" s="13"/>
      <c r="B50" s="18"/>
      <c r="C50" s="613" t="s">
        <v>362</v>
      </c>
      <c r="D50" s="627" t="s">
        <v>803</v>
      </c>
      <c r="E50" s="18"/>
      <c r="F50" s="18"/>
      <c r="G50" s="18"/>
      <c r="H50" s="18"/>
      <c r="I50" s="18"/>
      <c r="J50" s="18"/>
      <c r="K50" s="18"/>
      <c r="L50" s="18"/>
      <c r="M50" s="18"/>
      <c r="N50" s="18"/>
      <c r="O50" s="18"/>
      <c r="P50" s="18"/>
      <c r="Q50" s="18"/>
      <c r="R50" s="18"/>
      <c r="S50" s="13"/>
      <c r="T50" s="13" t="s">
        <v>789</v>
      </c>
      <c r="U50" s="13"/>
      <c r="V50" s="13"/>
      <c r="W50" s="13"/>
      <c r="X50" s="13"/>
      <c r="Y50" s="13"/>
      <c r="Z50" s="13"/>
      <c r="AA50" s="13"/>
      <c r="AB50" s="13"/>
      <c r="AC50" s="13"/>
      <c r="AD50" s="13"/>
      <c r="AE50" s="13"/>
      <c r="AF50" s="13"/>
      <c r="AG50" s="13"/>
      <c r="AH50" s="13"/>
      <c r="AI50" s="13"/>
      <c r="AJ50" s="13"/>
      <c r="AK50" s="13"/>
      <c r="AL50" s="13">
        <v>31</v>
      </c>
      <c r="AM50" s="11"/>
      <c r="AN50" s="23"/>
      <c r="AO50" s="31"/>
      <c r="AP50" s="31"/>
      <c r="AQ50" s="635">
        <f>Absences26810121424[[#This Row],[debut]]</f>
        <v>0</v>
      </c>
      <c r="AV50" s="71"/>
      <c r="AW50" s="54"/>
      <c r="AX50" s="54"/>
      <c r="AY50" s="54"/>
      <c r="AZ50" s="54"/>
      <c r="BA50" s="54"/>
      <c r="BB50" s="54"/>
      <c r="BC50" s="55"/>
      <c r="BD50" s="56"/>
      <c r="BE50" s="56"/>
      <c r="BF50" s="56"/>
      <c r="BG50" s="56"/>
      <c r="BI50" s="348"/>
      <c r="BJ50" s="349"/>
      <c r="BK50" s="349"/>
      <c r="BL50" s="349"/>
      <c r="BM50" s="349"/>
      <c r="BN50" s="349"/>
      <c r="BO50" s="349"/>
      <c r="BP50" s="349"/>
      <c r="BQ50" s="349"/>
      <c r="BR50" s="349"/>
      <c r="BS50" s="349"/>
      <c r="BT50" s="349"/>
      <c r="BU50" s="349"/>
      <c r="BV50" s="349"/>
      <c r="BW50" s="349"/>
      <c r="BX50" s="350"/>
    </row>
    <row r="51" spans="1:76" ht="16.5" thickBot="1" x14ac:dyDescent="0.3">
      <c r="A51" s="13"/>
      <c r="B51" s="18"/>
      <c r="C51" s="18"/>
      <c r="D51" s="18" t="s">
        <v>804</v>
      </c>
      <c r="E51" s="18"/>
      <c r="F51" s="18"/>
      <c r="G51" s="18"/>
      <c r="H51" s="18"/>
      <c r="I51" s="18"/>
      <c r="J51" s="18"/>
      <c r="K51" s="18"/>
      <c r="L51" s="18"/>
      <c r="M51" s="18"/>
      <c r="N51" s="18"/>
      <c r="O51" s="18"/>
      <c r="P51" s="18"/>
      <c r="Q51" s="18"/>
      <c r="R51" s="18"/>
      <c r="S51" s="13"/>
      <c r="T51" s="13" t="s">
        <v>790</v>
      </c>
      <c r="U51" s="13"/>
      <c r="V51" s="13"/>
      <c r="W51" s="13"/>
      <c r="X51" s="13"/>
      <c r="Y51" s="13"/>
      <c r="Z51" s="13"/>
      <c r="AA51" s="13"/>
      <c r="AB51" s="13"/>
      <c r="AC51" s="13"/>
      <c r="AD51" s="13"/>
      <c r="AE51" s="13"/>
      <c r="AF51" s="13"/>
      <c r="AG51" s="13"/>
      <c r="AH51" s="13"/>
      <c r="AI51" s="13"/>
      <c r="AJ51" s="13"/>
      <c r="AK51" s="13"/>
      <c r="AL51" s="13">
        <v>32</v>
      </c>
      <c r="AM51" s="11"/>
      <c r="AN51" s="23"/>
      <c r="AO51" s="31"/>
      <c r="AP51" s="31"/>
      <c r="AQ51" s="635">
        <f>Absences26810121424[[#This Row],[debut]]</f>
        <v>0</v>
      </c>
      <c r="AV51" s="94" t="s">
        <v>98</v>
      </c>
      <c r="AW51" s="50">
        <v>0.25</v>
      </c>
      <c r="AX51" s="50">
        <v>0.60416666666666663</v>
      </c>
      <c r="AY51" s="51">
        <v>1</v>
      </c>
      <c r="AZ51" s="52">
        <f>IF(AX51-AW51=0,0,(AX51-AW51)-(AY51*TIMEVALUE("00:30")))</f>
        <v>0.33333333333333331</v>
      </c>
      <c r="BA51" s="53" t="s">
        <v>75</v>
      </c>
      <c r="BB51" s="54"/>
      <c r="BC51" s="55"/>
      <c r="BD51" s="56"/>
      <c r="BE51" s="56"/>
      <c r="BF51" s="56"/>
      <c r="BG51" s="56"/>
    </row>
    <row r="52" spans="1:76" x14ac:dyDescent="0.25">
      <c r="A52" s="13"/>
      <c r="B52" s="18"/>
      <c r="C52" s="18"/>
      <c r="D52" s="18"/>
      <c r="E52" s="18"/>
      <c r="F52" s="18"/>
      <c r="G52" s="18"/>
      <c r="H52" s="18"/>
      <c r="I52" s="18"/>
      <c r="J52" s="18"/>
      <c r="K52" s="18"/>
      <c r="L52" s="18"/>
      <c r="M52" s="18"/>
      <c r="N52" s="18"/>
      <c r="O52" s="18"/>
      <c r="P52" s="18"/>
      <c r="Q52" s="18"/>
      <c r="R52" s="18"/>
      <c r="S52" s="13"/>
      <c r="T52" s="13"/>
      <c r="U52" s="13"/>
      <c r="V52" s="13"/>
      <c r="W52" s="13"/>
      <c r="X52" s="13"/>
      <c r="Y52" s="13"/>
      <c r="Z52" s="13"/>
      <c r="AA52" s="13"/>
      <c r="AB52" s="13"/>
      <c r="AC52" s="13"/>
      <c r="AD52" s="13"/>
      <c r="AE52" s="13"/>
      <c r="AF52" s="13"/>
      <c r="AG52" s="13"/>
      <c r="AH52" s="13"/>
      <c r="AI52" s="13"/>
      <c r="AJ52" s="13"/>
      <c r="AK52" s="13"/>
      <c r="AL52" s="13">
        <v>33</v>
      </c>
      <c r="AM52" s="11"/>
      <c r="AN52" s="23"/>
      <c r="AO52" s="31"/>
      <c r="AP52" s="31"/>
      <c r="AQ52" s="635">
        <f>Absences26810121424[[#This Row],[debut]]</f>
        <v>0</v>
      </c>
      <c r="AV52" s="70"/>
      <c r="AW52" s="57"/>
      <c r="AX52" s="57"/>
      <c r="AY52" s="57"/>
      <c r="AZ52" s="54"/>
      <c r="BA52" s="54"/>
      <c r="BB52" s="54"/>
      <c r="BC52" s="55"/>
      <c r="BD52" s="56"/>
      <c r="BE52" s="56"/>
      <c r="BF52" s="56"/>
      <c r="BG52" s="56"/>
    </row>
    <row r="53" spans="1:76" ht="21.75" thickBot="1" x14ac:dyDescent="0.3">
      <c r="A53" s="13"/>
      <c r="B53" s="622" t="s">
        <v>187</v>
      </c>
      <c r="C53" s="624" t="s">
        <v>837</v>
      </c>
      <c r="D53" s="18"/>
      <c r="E53" s="18"/>
      <c r="F53" s="18"/>
      <c r="G53" s="18"/>
      <c r="H53" s="18"/>
      <c r="I53" s="18"/>
      <c r="J53" s="18"/>
      <c r="K53" s="18"/>
      <c r="L53" s="18"/>
      <c r="M53" s="18"/>
      <c r="N53" s="18"/>
      <c r="O53" s="18"/>
      <c r="P53" s="18"/>
      <c r="Q53" s="18"/>
      <c r="R53" s="18"/>
      <c r="S53" s="13"/>
      <c r="T53" s="13"/>
      <c r="U53" s="13"/>
      <c r="V53" s="13"/>
      <c r="W53" s="13"/>
      <c r="X53" s="13"/>
      <c r="Y53" s="13"/>
      <c r="Z53" s="13"/>
      <c r="AA53" s="13"/>
      <c r="AB53" s="13"/>
      <c r="AC53" s="13"/>
      <c r="AD53" s="13"/>
      <c r="AE53" s="13"/>
      <c r="AF53" s="13"/>
      <c r="AG53" s="13"/>
      <c r="AH53" s="13"/>
      <c r="AI53" s="13"/>
      <c r="AJ53" s="13"/>
      <c r="AK53" s="13"/>
      <c r="AL53" s="13">
        <v>34</v>
      </c>
      <c r="AM53" s="11"/>
      <c r="AN53" s="23"/>
      <c r="AO53" s="31"/>
      <c r="AP53" s="31"/>
      <c r="AQ53" s="635">
        <f>Absences26810121424[[#This Row],[debut]]</f>
        <v>0</v>
      </c>
      <c r="AV53" s="94" t="s">
        <v>99</v>
      </c>
      <c r="AW53" s="50">
        <v>0.58333333333333337</v>
      </c>
      <c r="AX53" s="50">
        <v>0.83333333333333337</v>
      </c>
      <c r="AY53" s="51">
        <v>0</v>
      </c>
      <c r="AZ53" s="52">
        <f>IF(AX53-AW53=0,0,(AX53-AW53)-(AY53*TIMEVALUE("00:30")))</f>
        <v>0.25</v>
      </c>
      <c r="BA53" s="53" t="s">
        <v>123</v>
      </c>
      <c r="BB53" s="54"/>
      <c r="BC53" s="55"/>
      <c r="BD53" s="56"/>
      <c r="BE53" s="56"/>
      <c r="BF53" s="56"/>
      <c r="BG53" s="56"/>
    </row>
    <row r="54" spans="1:76" x14ac:dyDescent="0.25">
      <c r="A54" s="13"/>
      <c r="B54" s="18"/>
      <c r="C54" s="615">
        <v>2020</v>
      </c>
      <c r="D54" s="18" t="s">
        <v>806</v>
      </c>
      <c r="E54" s="18"/>
      <c r="F54" s="18"/>
      <c r="G54" s="18"/>
      <c r="H54" s="18"/>
      <c r="I54" s="18"/>
      <c r="J54" s="18"/>
      <c r="K54" s="18"/>
      <c r="L54" s="18"/>
      <c r="M54" s="18"/>
      <c r="N54" s="18"/>
      <c r="O54" s="18"/>
      <c r="P54" s="18"/>
      <c r="Q54" s="18"/>
      <c r="R54" s="18"/>
      <c r="S54" s="13"/>
      <c r="T54" s="13"/>
      <c r="U54" s="13"/>
      <c r="V54" s="13"/>
      <c r="W54" s="13"/>
      <c r="X54" s="13"/>
      <c r="Y54" s="13"/>
      <c r="Z54" s="13"/>
      <c r="AA54" s="13"/>
      <c r="AB54" s="13"/>
      <c r="AC54" s="13"/>
      <c r="AD54" s="13"/>
      <c r="AE54" s="13"/>
      <c r="AF54" s="13"/>
      <c r="AG54" s="13"/>
      <c r="AH54" s="13"/>
      <c r="AI54" s="13"/>
      <c r="AJ54" s="13"/>
      <c r="AK54" s="13"/>
      <c r="AL54" s="13">
        <v>35</v>
      </c>
      <c r="AM54" s="11"/>
      <c r="AN54" s="23"/>
      <c r="AO54" s="31"/>
      <c r="AP54" s="31"/>
      <c r="AQ54" s="635">
        <f>Absences26810121424[[#This Row],[debut]]</f>
        <v>0</v>
      </c>
      <c r="AV54"/>
      <c r="AW54"/>
      <c r="AX54"/>
      <c r="AY54"/>
      <c r="AZ54"/>
      <c r="BA54"/>
      <c r="BB54"/>
      <c r="BC54"/>
      <c r="BD54"/>
      <c r="BE54"/>
      <c r="BF54"/>
      <c r="BG54"/>
    </row>
    <row r="55" spans="1:76" x14ac:dyDescent="0.25">
      <c r="A55" s="13"/>
      <c r="B55" s="18"/>
      <c r="C55" s="1474" t="s">
        <v>5</v>
      </c>
      <c r="D55" s="1474"/>
      <c r="E55" s="18" t="s">
        <v>867</v>
      </c>
      <c r="F55" s="18"/>
      <c r="G55" s="18"/>
      <c r="H55" s="18"/>
      <c r="I55" s="18"/>
      <c r="J55" s="18"/>
      <c r="K55" s="18"/>
      <c r="L55" s="18"/>
      <c r="M55" s="18"/>
      <c r="N55" s="18"/>
      <c r="O55" s="18"/>
      <c r="P55" s="18"/>
      <c r="Q55" s="18"/>
      <c r="R55" s="18"/>
      <c r="S55" s="13"/>
      <c r="T55" s="13"/>
      <c r="U55" s="13"/>
      <c r="V55" s="13"/>
      <c r="W55" s="13"/>
      <c r="X55" s="13"/>
      <c r="Y55" s="13"/>
      <c r="Z55" s="13"/>
      <c r="AA55" s="13"/>
      <c r="AB55" s="13"/>
      <c r="AC55" s="13"/>
      <c r="AD55" s="13"/>
      <c r="AE55" s="13"/>
      <c r="AF55" s="13"/>
      <c r="AG55" s="13"/>
      <c r="AH55" s="13"/>
      <c r="AI55" s="13"/>
      <c r="AJ55" s="13"/>
      <c r="AK55" s="13"/>
      <c r="AL55" s="13">
        <v>36</v>
      </c>
      <c r="AM55" s="11"/>
      <c r="AN55" s="23"/>
      <c r="AO55" s="31"/>
      <c r="AP55" s="31"/>
      <c r="AQ55" s="635">
        <f>Absences26810121424[[#This Row],[debut]]</f>
        <v>0</v>
      </c>
      <c r="AV55"/>
      <c r="AW55"/>
      <c r="AX55"/>
      <c r="AY55"/>
      <c r="AZ55"/>
      <c r="BA55"/>
      <c r="BB55"/>
      <c r="BC55"/>
      <c r="BD55"/>
      <c r="BE55"/>
      <c r="BF55"/>
      <c r="BG55"/>
    </row>
    <row r="56" spans="1:76" ht="18.75" x14ac:dyDescent="0.25">
      <c r="A56" s="13"/>
      <c r="B56" s="18"/>
      <c r="C56" s="1475" t="s">
        <v>36</v>
      </c>
      <c r="D56" s="1475"/>
      <c r="E56" s="18" t="s">
        <v>868</v>
      </c>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13"/>
      <c r="AH56" s="13"/>
      <c r="AI56" s="13"/>
      <c r="AJ56" s="13"/>
      <c r="AK56" s="13"/>
      <c r="AL56" s="13">
        <v>37</v>
      </c>
      <c r="AM56" s="11"/>
      <c r="AN56" s="23"/>
      <c r="AO56" s="31"/>
      <c r="AP56" s="31"/>
      <c r="AQ56" s="635">
        <f>Absences26810121424[[#This Row],[debut]]</f>
        <v>0</v>
      </c>
      <c r="AV56" s="54"/>
      <c r="AW56" s="54"/>
      <c r="AX56" s="72"/>
      <c r="AY56" s="56"/>
      <c r="AZ56" s="54"/>
      <c r="BA56" s="54"/>
      <c r="BB56" s="54"/>
      <c r="BC56" s="55"/>
      <c r="BD56" s="56"/>
      <c r="BE56" s="56"/>
      <c r="BF56" s="56"/>
      <c r="BG56" s="56"/>
    </row>
    <row r="57" spans="1:76" x14ac:dyDescent="0.25">
      <c r="A57" s="13"/>
      <c r="B57" s="13"/>
      <c r="C57" s="13"/>
      <c r="D57" s="13"/>
      <c r="E57" s="13"/>
      <c r="F57" s="13"/>
      <c r="G57" s="13"/>
      <c r="H57" s="13"/>
      <c r="I57" s="18"/>
      <c r="J57" s="18"/>
      <c r="K57" s="18"/>
      <c r="L57" s="18"/>
      <c r="M57" s="18"/>
      <c r="N57" s="18"/>
      <c r="O57" s="18"/>
      <c r="P57" s="18"/>
      <c r="Q57" s="18"/>
      <c r="R57" s="18"/>
      <c r="S57" s="13"/>
      <c r="T57" s="13"/>
      <c r="U57" s="13"/>
      <c r="V57" s="13"/>
      <c r="W57" s="13"/>
      <c r="X57" s="13"/>
      <c r="Y57" s="13"/>
      <c r="Z57" s="13"/>
      <c r="AA57" s="13"/>
      <c r="AB57" s="13"/>
      <c r="AC57" s="13"/>
      <c r="AD57" s="13"/>
      <c r="AE57" s="13"/>
      <c r="AF57" s="13"/>
      <c r="AG57" s="13"/>
      <c r="AH57" s="13"/>
      <c r="AI57" s="13"/>
      <c r="AJ57" s="13"/>
      <c r="AK57" s="13"/>
      <c r="AL57" s="13"/>
      <c r="AM57" s="11"/>
      <c r="AN57" s="23"/>
      <c r="AO57" s="31"/>
      <c r="AP57" s="31"/>
      <c r="AQ57" s="635">
        <f>Absences26810121424[[#This Row],[debut]]</f>
        <v>0</v>
      </c>
      <c r="AV57" s="704"/>
      <c r="AW57" s="50"/>
      <c r="AX57" s="50"/>
      <c r="AY57" s="51"/>
      <c r="AZ57" s="52"/>
      <c r="BA57" s="53"/>
      <c r="BB57" s="54"/>
      <c r="BC57" s="55"/>
      <c r="BD57" s="56"/>
      <c r="BE57" s="56"/>
      <c r="BF57" s="56"/>
      <c r="BG57" s="56"/>
    </row>
    <row r="58" spans="1:76" ht="21" x14ac:dyDescent="0.25">
      <c r="A58" s="13"/>
      <c r="B58" s="13"/>
      <c r="C58" s="624" t="s">
        <v>838</v>
      </c>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v>39</v>
      </c>
      <c r="AM58" s="11"/>
      <c r="AN58" s="23"/>
      <c r="AO58" s="31"/>
      <c r="AP58" s="31"/>
      <c r="AQ58" s="635">
        <f>Absences26810121424[[#This Row],[debut]]</f>
        <v>0</v>
      </c>
      <c r="AV58"/>
      <c r="AW58"/>
      <c r="AX58"/>
      <c r="AY58"/>
      <c r="AZ58"/>
      <c r="BA58"/>
      <c r="BB58"/>
      <c r="BC58"/>
      <c r="BD58"/>
      <c r="BE58"/>
      <c r="BF58"/>
      <c r="BG58"/>
    </row>
    <row r="59" spans="1:76" ht="16.5" thickBot="1" x14ac:dyDescent="0.3">
      <c r="A59" s="13"/>
      <c r="B59" s="13"/>
      <c r="C59" s="685" t="s">
        <v>37</v>
      </c>
      <c r="D59" s="45" t="s">
        <v>861</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v>40</v>
      </c>
      <c r="AM59" s="11"/>
      <c r="AN59" s="23"/>
      <c r="AO59" s="31"/>
      <c r="AP59" s="31"/>
      <c r="AQ59" s="635">
        <f>Absences26810121424[[#This Row],[debut]]</f>
        <v>0</v>
      </c>
      <c r="AV59" s="54"/>
      <c r="AW59" s="54"/>
      <c r="AX59" s="72"/>
      <c r="AY59" s="56"/>
      <c r="AZ59" s="54"/>
      <c r="BA59" s="54"/>
      <c r="BB59" s="54"/>
      <c r="BC59" s="55"/>
      <c r="BD59" s="56"/>
      <c r="BE59" s="56"/>
      <c r="BF59" s="56"/>
      <c r="BG59" s="56"/>
    </row>
    <row r="60" spans="1:76" ht="16.5" thickBot="1" x14ac:dyDescent="0.3">
      <c r="A60" s="13"/>
      <c r="B60" s="13"/>
      <c r="C60" s="94" t="s">
        <v>79</v>
      </c>
      <c r="D60" s="45" t="s">
        <v>502</v>
      </c>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v>41</v>
      </c>
      <c r="AM60" s="11"/>
      <c r="AN60" s="23"/>
      <c r="AO60" s="31"/>
      <c r="AP60" s="31"/>
      <c r="AQ60" s="635">
        <f>Absences26810121424[[#This Row],[debut]]</f>
        <v>0</v>
      </c>
      <c r="AV60" s="94" t="s">
        <v>101</v>
      </c>
      <c r="AW60" s="50">
        <v>0.375</v>
      </c>
      <c r="AX60" s="50">
        <v>0.625</v>
      </c>
      <c r="AY60" s="51">
        <v>1</v>
      </c>
      <c r="AZ60" s="52">
        <f>IF(AX60-AW60=0,0,(AX60-AW60)-(AY60*TIMEVALUE("00:30")))</f>
        <v>0.22916666666666666</v>
      </c>
      <c r="BA60" s="53" t="s">
        <v>125</v>
      </c>
      <c r="BB60" s="54"/>
      <c r="BC60" s="55"/>
      <c r="BD60" s="56"/>
      <c r="BE60" s="56"/>
      <c r="BF60" s="56"/>
      <c r="BG60" s="56"/>
    </row>
    <row r="61" spans="1:76" x14ac:dyDescent="0.25">
      <c r="A61" s="13"/>
      <c r="B61" s="13"/>
      <c r="C61" s="594" t="s">
        <v>862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v>42</v>
      </c>
      <c r="AM61" s="11"/>
      <c r="AN61" s="23"/>
      <c r="AO61" s="31"/>
      <c r="AP61" s="31"/>
      <c r="AQ61" s="635">
        <f>Absences26810121424[[#This Row],[debut]]</f>
        <v>0</v>
      </c>
      <c r="AV61"/>
      <c r="AW61"/>
      <c r="AX61"/>
      <c r="AY61"/>
      <c r="AZ61"/>
      <c r="BA61"/>
      <c r="BB61"/>
      <c r="BC61"/>
      <c r="BD61"/>
      <c r="BE61"/>
      <c r="BF61"/>
      <c r="BG61"/>
    </row>
    <row r="62" spans="1:76" ht="16.5" thickBot="1" x14ac:dyDescent="0.3">
      <c r="A62" s="13"/>
      <c r="B62" s="13"/>
      <c r="C62" s="42"/>
      <c r="D62" s="45" t="s">
        <v>839</v>
      </c>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v>43</v>
      </c>
      <c r="AM62" s="11"/>
      <c r="AN62" s="23"/>
      <c r="AO62" s="31"/>
      <c r="AP62" s="31"/>
      <c r="AQ62" s="635">
        <f>Absences26810121424[[#This Row],[debut]]</f>
        <v>0</v>
      </c>
      <c r="AV62" s="54"/>
      <c r="AW62" s="54"/>
      <c r="AX62" s="72"/>
      <c r="AY62" s="56"/>
      <c r="AZ62" s="54"/>
      <c r="BA62" s="54"/>
      <c r="BB62" s="54"/>
      <c r="BC62" s="55"/>
      <c r="BD62" s="56"/>
      <c r="BE62" s="56"/>
      <c r="BF62" s="56"/>
      <c r="BG62" s="56"/>
    </row>
    <row r="63" spans="1:76" ht="16.5" thickBot="1" x14ac:dyDescent="0.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v>44</v>
      </c>
      <c r="AM63" s="11"/>
      <c r="AN63" s="23"/>
      <c r="AO63" s="31"/>
      <c r="AP63" s="31"/>
      <c r="AQ63" s="635">
        <f>Absences26810121424[[#This Row],[debut]]</f>
        <v>0</v>
      </c>
      <c r="AV63" s="94" t="s">
        <v>102</v>
      </c>
      <c r="AW63" s="50">
        <v>0.58333333333333337</v>
      </c>
      <c r="AX63" s="50">
        <v>0.75</v>
      </c>
      <c r="AY63" s="51">
        <v>0</v>
      </c>
      <c r="AZ63" s="52">
        <f>IF(AX63-AW63=0,0,(AX63-AW63)-(AY63*TIMEVALUE("00:30")))</f>
        <v>0.16666666666666663</v>
      </c>
      <c r="BA63" s="53" t="s">
        <v>132</v>
      </c>
      <c r="BB63" s="54"/>
      <c r="BC63" s="55"/>
      <c r="BD63" s="56"/>
      <c r="BE63" s="56"/>
      <c r="BF63" s="56"/>
      <c r="BG63" s="56"/>
    </row>
    <row r="64" spans="1:76" ht="21" x14ac:dyDescent="0.25">
      <c r="A64" s="13"/>
      <c r="B64" s="18"/>
      <c r="C64" s="625" t="s">
        <v>810</v>
      </c>
      <c r="D64" s="18"/>
      <c r="E64" s="18"/>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v>45</v>
      </c>
      <c r="AM64" s="11"/>
      <c r="AN64" s="23"/>
      <c r="AO64" s="31"/>
      <c r="AP64" s="31"/>
      <c r="AQ64" s="635">
        <f>Absences26810121424[[#This Row],[debut]]</f>
        <v>0</v>
      </c>
      <c r="AV64" s="57"/>
      <c r="AW64" s="57"/>
      <c r="AX64" s="69"/>
      <c r="AZ64" s="54"/>
      <c r="BA64" s="54"/>
      <c r="BB64" s="54"/>
      <c r="BC64" s="55"/>
      <c r="BD64" s="56"/>
      <c r="BE64" s="56"/>
      <c r="BF64" s="56"/>
      <c r="BG64" s="56"/>
    </row>
    <row r="65" spans="1:59" ht="16.5" thickBot="1" x14ac:dyDescent="0.3">
      <c r="A65" s="13"/>
      <c r="B65" s="13" t="s">
        <v>135</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v>46</v>
      </c>
      <c r="AM65" s="11"/>
      <c r="AN65" s="23"/>
      <c r="AO65" s="31"/>
      <c r="AP65" s="31"/>
      <c r="AQ65" s="635">
        <f>Absences26810121424[[#This Row],[debut]]</f>
        <v>0</v>
      </c>
      <c r="AV65" s="94" t="s">
        <v>103</v>
      </c>
      <c r="AW65" s="50">
        <v>0.58333333333333337</v>
      </c>
      <c r="AX65" s="50">
        <v>0.75</v>
      </c>
      <c r="AY65" s="51">
        <v>0</v>
      </c>
      <c r="AZ65" s="52">
        <f>IF(AX65-AW65=0,0,(AX65-AW65)-(AY65*TIMEVALUE("00:30")))</f>
        <v>0.16666666666666663</v>
      </c>
      <c r="BA65" s="53" t="s">
        <v>133</v>
      </c>
      <c r="BB65" s="54"/>
      <c r="BC65" s="55"/>
      <c r="BD65" s="56"/>
      <c r="BE65" s="56"/>
      <c r="BF65" s="56"/>
      <c r="BG65" s="56"/>
    </row>
    <row r="66" spans="1:59" x14ac:dyDescent="0.25">
      <c r="A66" s="13"/>
      <c r="B66" s="13" t="s">
        <v>136</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v>47</v>
      </c>
      <c r="AM66" s="11"/>
      <c r="AN66" s="23"/>
      <c r="AO66" s="31"/>
      <c r="AP66" s="31"/>
      <c r="AQ66" s="635">
        <f>Absences26810121424[[#This Row],[debut]]</f>
        <v>0</v>
      </c>
      <c r="AV66" s="73"/>
      <c r="AW66" s="59" t="s">
        <v>126</v>
      </c>
      <c r="AX66" s="55"/>
      <c r="AY66" s="60"/>
      <c r="AZ66" s="52"/>
      <c r="BA66" s="53"/>
      <c r="BB66" s="54"/>
      <c r="BC66" s="55"/>
      <c r="BD66" s="56"/>
      <c r="BE66" s="56"/>
      <c r="BF66" s="56"/>
      <c r="BG66" s="56"/>
    </row>
    <row r="67" spans="1:59" x14ac:dyDescent="0.25">
      <c r="A67" s="13"/>
      <c r="B67" s="13"/>
      <c r="C67" s="13" t="s">
        <v>36</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v>48</v>
      </c>
      <c r="AM67" s="11"/>
      <c r="AN67" s="23"/>
      <c r="AO67" s="31"/>
      <c r="AP67" s="31"/>
      <c r="AQ67" s="635">
        <f>Absences26810121424[[#This Row],[debut]]</f>
        <v>0</v>
      </c>
      <c r="AV67" s="54"/>
      <c r="AW67" s="54"/>
      <c r="AX67" s="72"/>
      <c r="AY67" s="56"/>
      <c r="AZ67" s="54"/>
      <c r="BA67" s="54"/>
      <c r="BB67" s="54"/>
      <c r="BC67" s="55"/>
      <c r="BD67" s="56"/>
      <c r="BE67" s="56"/>
      <c r="BF67" s="56"/>
      <c r="BG67" s="56"/>
    </row>
    <row r="68" spans="1:59" ht="16.5" thickBot="1" x14ac:dyDescent="0.3">
      <c r="A68" s="13"/>
      <c r="B68" s="13"/>
      <c r="C68" s="13" t="s">
        <v>137</v>
      </c>
      <c r="D68" s="13"/>
      <c r="E68" s="13"/>
      <c r="F68" s="18"/>
      <c r="G68" s="18"/>
      <c r="H68" s="18"/>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v>49</v>
      </c>
      <c r="AM68" s="11"/>
      <c r="AN68" s="23"/>
      <c r="AO68" s="31"/>
      <c r="AP68" s="31"/>
      <c r="AQ68" s="635">
        <f>Absences26810121424[[#This Row],[debut]]</f>
        <v>0</v>
      </c>
      <c r="AV68" s="94" t="s">
        <v>104</v>
      </c>
      <c r="AW68" s="50">
        <v>0.58333333333333337</v>
      </c>
      <c r="AX68" s="50">
        <v>0.75</v>
      </c>
      <c r="AY68" s="51">
        <v>0</v>
      </c>
      <c r="AZ68" s="52">
        <f>IF(AX68-AW68=0,0,(AX68-AW68)-(AY68*TIMEVALUE("00:30")))</f>
        <v>0.16666666666666663</v>
      </c>
      <c r="BA68" s="61" t="s">
        <v>76</v>
      </c>
      <c r="BB68" s="54"/>
      <c r="BC68" s="55"/>
      <c r="BD68" s="56"/>
      <c r="BE68" s="56"/>
      <c r="BF68" s="56"/>
      <c r="BG68" s="56"/>
    </row>
    <row r="69" spans="1:59" x14ac:dyDescent="0.25">
      <c r="A69" s="13"/>
      <c r="B69" s="13"/>
      <c r="C69" s="13" t="s">
        <v>138</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v>50</v>
      </c>
      <c r="AM69" s="11"/>
      <c r="AN69" s="23"/>
      <c r="AO69" s="31"/>
      <c r="AP69" s="31"/>
      <c r="AQ69" s="635">
        <f>Absences26810121424[[#This Row],[debut]]</f>
        <v>0</v>
      </c>
      <c r="AV69" s="1506" t="s">
        <v>134</v>
      </c>
      <c r="AW69" s="1506"/>
      <c r="AX69" s="1506"/>
      <c r="AY69" s="1506"/>
      <c r="AZ69" s="1506"/>
      <c r="BA69" s="1506"/>
      <c r="BB69" s="1506"/>
      <c r="BC69" s="1506"/>
      <c r="BD69" s="1506"/>
      <c r="BE69" s="1506"/>
      <c r="BF69" s="1506"/>
      <c r="BG69" s="1506"/>
    </row>
    <row r="70" spans="1:59" x14ac:dyDescent="0.25">
      <c r="A70" s="13"/>
      <c r="B70" s="13"/>
      <c r="C70" s="45" t="s">
        <v>812</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v>51</v>
      </c>
      <c r="AM70" s="11"/>
      <c r="AN70" s="23"/>
      <c r="AO70" s="31"/>
      <c r="AP70" s="31"/>
      <c r="AQ70" s="635">
        <f>Absences26810121424[[#This Row],[debut]]</f>
        <v>0</v>
      </c>
      <c r="AV70" s="54"/>
      <c r="AW70" s="62"/>
      <c r="AX70" s="63"/>
      <c r="AY70" s="63"/>
      <c r="AZ70" s="63"/>
      <c r="BA70" s="63"/>
      <c r="BB70" s="63"/>
      <c r="BC70" s="63"/>
      <c r="BD70" s="63"/>
      <c r="BE70" s="63"/>
      <c r="BF70" s="63"/>
      <c r="BG70" s="63"/>
    </row>
    <row r="71" spans="1:59" ht="16.5" thickBot="1" x14ac:dyDescent="0.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v>52</v>
      </c>
      <c r="AM71" s="11"/>
      <c r="AN71" s="23"/>
      <c r="AO71" s="31"/>
      <c r="AP71" s="31"/>
      <c r="AQ71" s="635">
        <f>Absences26810121424[[#This Row],[debut]]</f>
        <v>0</v>
      </c>
      <c r="AV71" s="94" t="s">
        <v>105</v>
      </c>
      <c r="AW71" s="50">
        <v>0.3125</v>
      </c>
      <c r="AX71" s="50">
        <v>0.47916666666666669</v>
      </c>
      <c r="AY71" s="51">
        <v>0</v>
      </c>
      <c r="AZ71" s="52">
        <f>IF(AX71-AW71=0,0,(AX71-AW71)-(AY71*TIMEVALUE("00:30")))</f>
        <v>0.16666666666666669</v>
      </c>
      <c r="BA71" s="53" t="s">
        <v>77</v>
      </c>
      <c r="BB71" s="63"/>
      <c r="BC71" s="63"/>
      <c r="BD71" s="63"/>
      <c r="BE71" s="63"/>
      <c r="BF71" s="63"/>
      <c r="BG71" s="63"/>
    </row>
    <row r="72" spans="1:59" ht="21" x14ac:dyDescent="0.25">
      <c r="A72" s="13"/>
      <c r="B72" s="13"/>
      <c r="C72" s="625" t="s">
        <v>825</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v>53</v>
      </c>
      <c r="AM72" s="11"/>
      <c r="AN72" s="23"/>
      <c r="AO72" s="31"/>
      <c r="AP72" s="31"/>
      <c r="AQ72" s="635">
        <f>Absences26810121424[[#This Row],[debut]]</f>
        <v>0</v>
      </c>
      <c r="AV72"/>
      <c r="AW72"/>
      <c r="AX72"/>
      <c r="AY72"/>
      <c r="AZ72"/>
      <c r="BA72"/>
      <c r="BB72"/>
      <c r="BC72"/>
      <c r="BD72"/>
      <c r="BE72"/>
      <c r="BF72"/>
      <c r="BG72"/>
    </row>
    <row r="73" spans="1:59"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v>54</v>
      </c>
      <c r="AM73" s="11"/>
      <c r="AN73" s="23"/>
      <c r="AO73" s="31"/>
      <c r="AP73" s="31"/>
      <c r="AQ73" s="635">
        <f>Absences26810121424[[#This Row],[debut]]</f>
        <v>0</v>
      </c>
      <c r="AV73" s="682"/>
      <c r="AW73" s="682"/>
      <c r="AX73" s="682"/>
      <c r="AY73" s="682"/>
      <c r="AZ73" s="682"/>
      <c r="BA73" s="682"/>
      <c r="BB73" s="682"/>
      <c r="BC73" s="682"/>
      <c r="BD73" s="682"/>
      <c r="BE73" s="682"/>
      <c r="BF73" s="682"/>
      <c r="BG73" s="682"/>
    </row>
    <row r="74" spans="1:59" ht="20.25"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v>55</v>
      </c>
      <c r="AM74" s="11"/>
      <c r="AN74" s="23"/>
      <c r="AO74" s="31"/>
      <c r="AP74" s="31"/>
      <c r="AQ74" s="635">
        <f>Absences26810121424[[#This Row],[debut]]</f>
        <v>0</v>
      </c>
      <c r="AV74" s="1499" t="s">
        <v>558</v>
      </c>
      <c r="AW74" s="1499"/>
      <c r="AX74" s="1499"/>
      <c r="AY74" s="1499"/>
      <c r="AZ74" s="1499"/>
      <c r="BA74" s="1499"/>
      <c r="BB74" s="1499"/>
      <c r="BC74" s="1499"/>
      <c r="BD74" s="56"/>
      <c r="BE74" s="56"/>
      <c r="BF74" s="56"/>
      <c r="BG74" s="56"/>
    </row>
    <row r="75" spans="1:59" ht="21.75" thickBot="1" x14ac:dyDescent="0.4">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v>56</v>
      </c>
      <c r="AM75" s="11"/>
      <c r="AN75" s="23"/>
      <c r="AO75" s="31"/>
      <c r="AP75" s="31"/>
      <c r="AQ75" s="635">
        <f>Absences26810121424[[#This Row],[debut]]</f>
        <v>0</v>
      </c>
      <c r="AV75" s="958" t="s">
        <v>921</v>
      </c>
      <c r="AW75" s="56"/>
      <c r="AX75" s="56"/>
      <c r="AY75" s="56"/>
      <c r="AZ75" s="56"/>
      <c r="BA75" s="56"/>
      <c r="BB75" s="56"/>
      <c r="BC75" s="56"/>
      <c r="BD75" s="56"/>
      <c r="BE75" s="56"/>
      <c r="BF75" s="56"/>
      <c r="BG75" s="56"/>
    </row>
    <row r="76" spans="1:59" ht="20.25"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v>57</v>
      </c>
      <c r="AM76" s="11"/>
      <c r="AN76" s="23"/>
      <c r="AO76" s="31"/>
      <c r="AP76" s="31"/>
      <c r="AQ76" s="635">
        <f>Absences26810121424[[#This Row],[debut]]</f>
        <v>0</v>
      </c>
      <c r="AV76" s="955" t="s">
        <v>922</v>
      </c>
      <c r="AW76" s="956"/>
      <c r="AX76" s="956"/>
      <c r="AY76" s="956"/>
      <c r="AZ76" s="956"/>
      <c r="BA76" s="956"/>
      <c r="BB76" s="956"/>
      <c r="BC76" s="957"/>
      <c r="BD76" s="56"/>
      <c r="BE76" s="56"/>
      <c r="BF76" s="56"/>
      <c r="BG76" s="56"/>
    </row>
    <row r="77" spans="1:59" ht="21" x14ac:dyDescent="0.3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v>58</v>
      </c>
      <c r="AM77" s="11"/>
      <c r="AN77" s="23"/>
      <c r="AO77" s="31"/>
      <c r="AP77" s="31"/>
      <c r="AQ77" s="635">
        <f>Absences26810121424[[#This Row],[debut]]</f>
        <v>0</v>
      </c>
      <c r="AV77" s="950" t="s">
        <v>560</v>
      </c>
      <c r="AW77" s="951" t="s">
        <v>561</v>
      </c>
      <c r="AX77" s="951" t="s">
        <v>562</v>
      </c>
      <c r="AY77" s="952"/>
      <c r="AZ77" s="951" t="s">
        <v>563</v>
      </c>
      <c r="BA77" s="951" t="s">
        <v>564</v>
      </c>
      <c r="BB77" s="953" t="s">
        <v>565</v>
      </c>
      <c r="BC77" s="954" t="s">
        <v>566</v>
      </c>
      <c r="BD77" s="56"/>
      <c r="BE77" s="56"/>
      <c r="BF77" s="56"/>
      <c r="BG77" s="56"/>
    </row>
    <row r="78" spans="1:59" ht="26.25" x14ac:dyDescent="0.4">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v>59</v>
      </c>
      <c r="AM78" s="11"/>
      <c r="AN78" s="23"/>
      <c r="AO78" s="31"/>
      <c r="AP78" s="31"/>
      <c r="AQ78" s="635">
        <f>Absences26810121424[[#This Row],[debut]]</f>
        <v>0</v>
      </c>
      <c r="AV78" s="934" t="s">
        <v>916</v>
      </c>
      <c r="AW78" s="935" t="s">
        <v>916</v>
      </c>
      <c r="AX78" s="935" t="s">
        <v>916</v>
      </c>
      <c r="AY78" s="936"/>
      <c r="AZ78" s="935" t="s">
        <v>916</v>
      </c>
      <c r="BA78" s="935" t="s">
        <v>916</v>
      </c>
      <c r="BB78" s="937"/>
      <c r="BC78" s="938"/>
      <c r="BD78" s="56"/>
      <c r="BE78" s="56"/>
      <c r="BF78" s="56"/>
      <c r="BG78" s="56"/>
    </row>
    <row r="79" spans="1:59" ht="26.25" x14ac:dyDescent="0.4">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v>60</v>
      </c>
      <c r="AM79" s="11"/>
      <c r="AN79" s="23"/>
      <c r="AO79" s="31"/>
      <c r="AP79" s="31"/>
      <c r="AQ79" s="635">
        <f>Absences26810121424[[#This Row],[debut]]</f>
        <v>0</v>
      </c>
      <c r="AV79" s="934" t="s">
        <v>917</v>
      </c>
      <c r="AW79" s="935" t="s">
        <v>917</v>
      </c>
      <c r="AX79" s="935" t="s">
        <v>917</v>
      </c>
      <c r="AY79" s="936"/>
      <c r="AZ79" s="935" t="s">
        <v>917</v>
      </c>
      <c r="BA79" s="935" t="s">
        <v>917</v>
      </c>
      <c r="BB79" s="935" t="s">
        <v>917</v>
      </c>
      <c r="BC79" s="939" t="s">
        <v>917</v>
      </c>
      <c r="BD79" s="56"/>
      <c r="BE79" s="56"/>
      <c r="BF79" s="56"/>
      <c r="BG79" s="56"/>
    </row>
    <row r="80" spans="1:59" ht="26.25"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v>61</v>
      </c>
      <c r="AM80" s="11"/>
      <c r="AN80" s="23"/>
      <c r="AO80" s="31"/>
      <c r="AP80" s="31"/>
      <c r="AQ80" s="635">
        <f>Absences26810121424[[#This Row],[debut]]</f>
        <v>0</v>
      </c>
      <c r="AV80" s="940"/>
      <c r="AW80" s="941" t="s">
        <v>918</v>
      </c>
      <c r="AX80" s="937"/>
      <c r="AY80" s="937"/>
      <c r="AZ80" s="937"/>
      <c r="BA80" s="937"/>
      <c r="BB80" s="941" t="s">
        <v>918</v>
      </c>
      <c r="BC80" s="942" t="s">
        <v>918</v>
      </c>
      <c r="BD80" s="56"/>
      <c r="BE80" s="56"/>
      <c r="BF80" s="56"/>
      <c r="BG80" s="56"/>
    </row>
    <row r="81" spans="1:59" ht="26.25" x14ac:dyDescent="0.4">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v>62</v>
      </c>
      <c r="AM81" s="11"/>
      <c r="AN81" s="23"/>
      <c r="AO81" s="31"/>
      <c r="AP81" s="31"/>
      <c r="AQ81" s="635">
        <f>Absences26810121424[[#This Row],[debut]]</f>
        <v>0</v>
      </c>
      <c r="AV81" s="943" t="s">
        <v>919</v>
      </c>
      <c r="AW81" s="941" t="s">
        <v>919</v>
      </c>
      <c r="AX81" s="944" t="s">
        <v>919</v>
      </c>
      <c r="AY81" s="945"/>
      <c r="AZ81" s="941" t="s">
        <v>919</v>
      </c>
      <c r="BA81" s="941" t="s">
        <v>919</v>
      </c>
      <c r="BB81" s="941" t="s">
        <v>919</v>
      </c>
      <c r="BC81" s="942" t="s">
        <v>919</v>
      </c>
      <c r="BD81" s="56"/>
      <c r="BE81" s="56"/>
      <c r="BF81" s="56"/>
      <c r="BG81" s="56"/>
    </row>
    <row r="82" spans="1:59" ht="26.25" x14ac:dyDescent="0.25">
      <c r="A82" s="13"/>
      <c r="C82" s="625" t="s">
        <v>1046</v>
      </c>
      <c r="AH82" s="13"/>
      <c r="AJ82" s="13"/>
      <c r="AK82" s="13"/>
      <c r="AL82" s="13">
        <v>63</v>
      </c>
      <c r="AM82" s="11"/>
      <c r="AN82" s="23"/>
      <c r="AO82" s="31"/>
      <c r="AP82" s="31"/>
      <c r="AQ82" s="635">
        <f>Absences26810121424[[#This Row],[debut]]</f>
        <v>0</v>
      </c>
      <c r="AV82" s="940"/>
      <c r="AW82" s="937"/>
      <c r="AX82" s="935" t="s">
        <v>920</v>
      </c>
      <c r="AY82" s="937"/>
      <c r="AZ82" s="937"/>
      <c r="BA82" s="935" t="s">
        <v>920</v>
      </c>
      <c r="BB82" s="937"/>
      <c r="BC82" s="938"/>
      <c r="BD82" s="960"/>
      <c r="BE82" s="56"/>
      <c r="BF82" s="56"/>
      <c r="BG82" s="56"/>
    </row>
    <row r="83" spans="1:59" ht="26.25" x14ac:dyDescent="0.4">
      <c r="AH83" s="13"/>
      <c r="AJ83" s="13"/>
      <c r="AK83" s="13"/>
      <c r="AL83" s="13">
        <v>64</v>
      </c>
      <c r="AM83" s="11"/>
      <c r="AN83" s="23"/>
      <c r="AO83" s="31"/>
      <c r="AP83" s="31"/>
      <c r="AQ83" s="635">
        <f>Absences26810121424[[#This Row],[debut]]</f>
        <v>0</v>
      </c>
      <c r="AV83" s="946" t="s">
        <v>557</v>
      </c>
      <c r="AW83" s="937"/>
      <c r="AX83" s="947" t="s">
        <v>557</v>
      </c>
      <c r="AY83" s="945"/>
      <c r="AZ83" s="947" t="s">
        <v>557</v>
      </c>
      <c r="BA83" s="947" t="s">
        <v>557</v>
      </c>
      <c r="BB83" s="937"/>
      <c r="BC83" s="938"/>
      <c r="BD83" s="56"/>
      <c r="BE83" s="56"/>
      <c r="BF83" s="56"/>
      <c r="BG83" s="56"/>
    </row>
    <row r="84" spans="1:59" ht="27" thickBot="1" x14ac:dyDescent="0.3">
      <c r="AH84" s="13"/>
      <c r="AJ84" s="13"/>
      <c r="AK84" s="13"/>
      <c r="AL84" s="13">
        <v>65</v>
      </c>
      <c r="AM84" s="11"/>
      <c r="AN84" s="23"/>
      <c r="AO84" s="31"/>
      <c r="AP84" s="31"/>
      <c r="AQ84" s="635">
        <f>Absences26810121424[[#This Row],[debut]]</f>
        <v>0</v>
      </c>
      <c r="AV84" s="932" t="s">
        <v>913</v>
      </c>
      <c r="AW84" s="963"/>
      <c r="AX84" s="933" t="s">
        <v>913</v>
      </c>
      <c r="AY84" s="933"/>
      <c r="AZ84" s="933" t="s">
        <v>913</v>
      </c>
      <c r="BA84" s="933" t="s">
        <v>913</v>
      </c>
      <c r="BB84" s="948"/>
      <c r="BC84" s="949"/>
      <c r="BD84" s="960"/>
      <c r="BE84" s="56"/>
      <c r="BF84" s="56"/>
      <c r="BG84" s="56"/>
    </row>
    <row r="85" spans="1:59" ht="16.5" x14ac:dyDescent="0.25">
      <c r="AH85" s="13"/>
      <c r="AJ85" s="13"/>
      <c r="AK85" s="13"/>
      <c r="AL85" s="13">
        <v>66</v>
      </c>
      <c r="AM85" s="11"/>
      <c r="AN85" s="23"/>
      <c r="AO85" s="31"/>
      <c r="AP85" s="31"/>
      <c r="AQ85" s="635">
        <f>Absences26810121424[[#This Row],[debut]]</f>
        <v>0</v>
      </c>
      <c r="AV85" s="959" t="s">
        <v>567</v>
      </c>
      <c r="AW85" s="959" t="s">
        <v>568</v>
      </c>
      <c r="AX85" s="959" t="s">
        <v>569</v>
      </c>
      <c r="AY85" s="56"/>
      <c r="AZ85" s="959" t="s">
        <v>556</v>
      </c>
      <c r="BA85" s="959" t="s">
        <v>570</v>
      </c>
      <c r="BB85" s="959" t="s">
        <v>571</v>
      </c>
      <c r="BC85" s="959" t="s">
        <v>572</v>
      </c>
      <c r="BD85" s="56"/>
      <c r="BE85" s="56"/>
      <c r="BF85" s="56"/>
      <c r="BG85" s="56"/>
    </row>
    <row r="86" spans="1:59" ht="18" x14ac:dyDescent="0.25">
      <c r="AH86" s="13"/>
      <c r="AJ86" s="13"/>
      <c r="AK86" s="13"/>
      <c r="AL86" s="13">
        <v>67</v>
      </c>
      <c r="AM86" s="11"/>
      <c r="AN86" s="23"/>
      <c r="AO86" s="31"/>
      <c r="AP86" s="31"/>
      <c r="AQ86" s="635">
        <f>Absences26810121424[[#This Row],[debut]]</f>
        <v>0</v>
      </c>
      <c r="AV86" s="273">
        <v>1.2708333333333333</v>
      </c>
      <c r="AW86" s="273">
        <v>1.1041666666666667</v>
      </c>
      <c r="AX86" s="273">
        <v>1.3958333333333333</v>
      </c>
      <c r="AZ86" s="273">
        <v>1.2708333333333333</v>
      </c>
      <c r="BA86" s="273">
        <v>1.3541666666666667</v>
      </c>
      <c r="BB86" s="273">
        <v>0.875</v>
      </c>
      <c r="BC86" s="273">
        <v>0.875</v>
      </c>
      <c r="BD86" s="56"/>
      <c r="BE86" s="56"/>
      <c r="BF86" s="56"/>
      <c r="BG86" s="56"/>
    </row>
    <row r="87" spans="1:59" ht="18" x14ac:dyDescent="0.25">
      <c r="AH87" s="13"/>
      <c r="AJ87" s="13"/>
      <c r="AK87" s="13"/>
      <c r="AL87" s="13">
        <v>68</v>
      </c>
      <c r="AM87" s="11"/>
      <c r="AN87" s="23"/>
      <c r="AO87" s="31"/>
      <c r="AP87" s="31"/>
      <c r="AQ87" s="635">
        <f>Absences26810121424[[#This Row],[debut]]</f>
        <v>0</v>
      </c>
      <c r="AV87" s="960"/>
      <c r="AW87" s="960"/>
      <c r="AX87" s="960"/>
      <c r="AY87" s="960"/>
      <c r="AZ87" s="960"/>
      <c r="BA87" s="960"/>
      <c r="BB87" s="961" t="s">
        <v>555</v>
      </c>
      <c r="BC87" s="961"/>
      <c r="BD87" s="56"/>
      <c r="BE87" s="56"/>
      <c r="BF87" s="56"/>
      <c r="BG87" s="56"/>
    </row>
    <row r="88" spans="1:59" ht="20.25" x14ac:dyDescent="0.25">
      <c r="AH88" s="13"/>
      <c r="AJ88" s="13"/>
      <c r="AK88" s="13"/>
      <c r="AL88" s="13">
        <v>69</v>
      </c>
      <c r="AM88" s="11"/>
      <c r="AN88" s="23"/>
      <c r="AO88" s="31"/>
      <c r="AP88" s="31"/>
      <c r="AQ88" s="635">
        <f>Absences26810121424[[#This Row],[debut]]</f>
        <v>0</v>
      </c>
      <c r="AV88" s="960"/>
      <c r="AW88" s="56"/>
      <c r="AX88" s="56"/>
      <c r="AY88" s="56"/>
      <c r="AZ88" s="56"/>
      <c r="BA88" s="962" t="s">
        <v>573</v>
      </c>
      <c r="BB88" s="271">
        <f>SUM(AV86:BC86)</f>
        <v>8.1458333333333321</v>
      </c>
      <c r="BC88" s="272"/>
      <c r="BD88" s="960"/>
      <c r="BE88" s="56"/>
      <c r="BF88" s="56"/>
      <c r="BG88" s="56"/>
    </row>
    <row r="89" spans="1:59" x14ac:dyDescent="0.25">
      <c r="A89" s="13"/>
      <c r="AH89" s="13"/>
      <c r="AJ89" s="13"/>
      <c r="AK89" s="13"/>
      <c r="AL89" s="13">
        <v>70</v>
      </c>
      <c r="AM89" s="11"/>
      <c r="AN89" s="23"/>
      <c r="AO89" s="31"/>
      <c r="AP89" s="31"/>
      <c r="AQ89" s="635">
        <f>Absences26810121424[[#This Row],[debut]]</f>
        <v>0</v>
      </c>
      <c r="AV89" s="56"/>
      <c r="AW89" s="56"/>
      <c r="AX89" s="56"/>
      <c r="AY89" s="56"/>
      <c r="AZ89" s="56"/>
      <c r="BA89" s="56"/>
      <c r="BB89" s="56"/>
      <c r="BC89" s="56"/>
      <c r="BD89" s="960"/>
      <c r="BE89" s="960"/>
      <c r="BF89" s="960"/>
      <c r="BG89" s="56"/>
    </row>
    <row r="90" spans="1:59" x14ac:dyDescent="0.25">
      <c r="A90" s="13"/>
      <c r="AH90" s="13"/>
      <c r="AJ90" s="13"/>
      <c r="AK90" s="13"/>
      <c r="AL90" s="13">
        <v>71</v>
      </c>
      <c r="AM90" s="11"/>
      <c r="AN90" s="23"/>
      <c r="AO90" s="31"/>
      <c r="AP90" s="31"/>
      <c r="AQ90" s="635">
        <f>Absences26810121424[[#This Row],[debut]]</f>
        <v>0</v>
      </c>
      <c r="AV90" s="56"/>
      <c r="AW90" s="56"/>
      <c r="AX90" s="56"/>
      <c r="AY90" s="56"/>
      <c r="AZ90" s="56"/>
      <c r="BA90" s="56"/>
      <c r="BB90" s="56"/>
      <c r="BC90" s="56"/>
      <c r="BD90" s="960"/>
      <c r="BE90" s="960"/>
      <c r="BF90" s="960"/>
      <c r="BG90" s="960"/>
    </row>
    <row r="91" spans="1:59" x14ac:dyDescent="0.25">
      <c r="A91" s="13"/>
      <c r="AH91" s="13"/>
      <c r="AJ91" s="13"/>
      <c r="AK91" s="13"/>
      <c r="AL91" s="13">
        <v>72</v>
      </c>
      <c r="AM91" s="11"/>
      <c r="AN91" s="23"/>
      <c r="AO91" s="31"/>
      <c r="AP91" s="31"/>
      <c r="AQ91" s="635">
        <f>Absences26810121424[[#This Row],[debut]]</f>
        <v>0</v>
      </c>
      <c r="AV91" s="56"/>
      <c r="AW91" s="56"/>
      <c r="AX91" s="56"/>
      <c r="AY91" s="56"/>
      <c r="AZ91" s="56"/>
      <c r="BA91" s="56"/>
      <c r="BB91" s="56"/>
      <c r="BC91" s="56"/>
      <c r="BD91" s="960"/>
      <c r="BE91" s="960"/>
      <c r="BF91" s="960"/>
      <c r="BG91" s="960"/>
    </row>
    <row r="92" spans="1:59" x14ac:dyDescent="0.25">
      <c r="A92" s="13"/>
      <c r="AH92" s="13"/>
      <c r="AJ92" s="13"/>
      <c r="AK92" s="13"/>
      <c r="AL92" s="13">
        <v>73</v>
      </c>
      <c r="AM92" s="11"/>
      <c r="AN92" s="23"/>
      <c r="AO92" s="31"/>
      <c r="AP92" s="31"/>
      <c r="AQ92" s="635">
        <f>Absences26810121424[[#This Row],[debut]]</f>
        <v>0</v>
      </c>
      <c r="AV92" s="56"/>
      <c r="AW92" s="56"/>
      <c r="AX92" s="56"/>
      <c r="AY92" s="56"/>
      <c r="AZ92" s="56"/>
      <c r="BA92" s="56"/>
      <c r="BB92" s="56"/>
      <c r="BC92" s="56"/>
      <c r="BD92" s="960"/>
      <c r="BE92" s="960"/>
      <c r="BF92" s="960"/>
      <c r="BG92" s="960"/>
    </row>
    <row r="93" spans="1:59" x14ac:dyDescent="0.25">
      <c r="A93" s="13"/>
      <c r="AH93" s="13"/>
      <c r="AJ93" s="13"/>
      <c r="AK93" s="13"/>
      <c r="AL93" s="13">
        <v>74</v>
      </c>
      <c r="AM93" s="11"/>
      <c r="AN93" s="23"/>
      <c r="AO93" s="31"/>
      <c r="AP93" s="31"/>
      <c r="AQ93" s="635">
        <f>Absences26810121424[[#This Row],[debut]]</f>
        <v>0</v>
      </c>
      <c r="AV93" s="56"/>
      <c r="AW93" s="56"/>
      <c r="AX93" s="56"/>
      <c r="AY93" s="56"/>
      <c r="AZ93" s="56"/>
      <c r="BA93" s="56"/>
      <c r="BB93" s="56"/>
      <c r="BC93" s="56"/>
      <c r="BD93" s="960"/>
      <c r="BE93" s="960"/>
      <c r="BF93" s="960"/>
      <c r="BG93" s="960"/>
    </row>
    <row r="94" spans="1:59" x14ac:dyDescent="0.25">
      <c r="A94" s="13"/>
      <c r="AH94" s="13"/>
      <c r="AJ94" s="13"/>
      <c r="AK94" s="13"/>
      <c r="AL94" s="13">
        <v>75</v>
      </c>
      <c r="AM94" s="11"/>
      <c r="AN94" s="23"/>
      <c r="AO94" s="31"/>
      <c r="AP94" s="31"/>
      <c r="AQ94" s="635">
        <f>Absences26810121424[[#This Row],[debut]]</f>
        <v>0</v>
      </c>
      <c r="AV94" s="56"/>
      <c r="AW94" s="56"/>
      <c r="AX94" s="56"/>
      <c r="AY94" s="56"/>
      <c r="AZ94" s="56"/>
      <c r="BA94" s="56"/>
      <c r="BB94" s="56"/>
      <c r="BC94" s="960"/>
      <c r="BD94" s="960"/>
      <c r="BE94" s="960"/>
      <c r="BF94" s="960"/>
      <c r="BG94" s="960"/>
    </row>
    <row r="95" spans="1:59" x14ac:dyDescent="0.25">
      <c r="A95" s="13"/>
      <c r="AH95" s="13"/>
      <c r="AJ95" s="13"/>
      <c r="AK95" s="13"/>
      <c r="AL95" s="13">
        <v>76</v>
      </c>
      <c r="AM95" s="11"/>
      <c r="AN95" s="23"/>
      <c r="AO95" s="31"/>
      <c r="AP95" s="31"/>
      <c r="AQ95" s="635">
        <f>Absences26810121424[[#This Row],[debut]]</f>
        <v>0</v>
      </c>
      <c r="AV95" s="56"/>
      <c r="AW95" s="56"/>
      <c r="AX95" s="56"/>
      <c r="AY95" s="56"/>
      <c r="AZ95" s="56"/>
      <c r="BA95" s="56"/>
      <c r="BB95" s="56"/>
      <c r="BC95" s="960"/>
      <c r="BD95" s="960"/>
      <c r="BE95" s="960"/>
      <c r="BF95" s="960"/>
      <c r="BG95" s="960"/>
    </row>
    <row r="96" spans="1:59" x14ac:dyDescent="0.25">
      <c r="A96" s="13"/>
      <c r="AH96" s="13"/>
      <c r="AJ96" s="13"/>
      <c r="AK96" s="13"/>
      <c r="AL96" s="13">
        <v>77</v>
      </c>
      <c r="AM96" s="11"/>
      <c r="AN96" s="23"/>
      <c r="AO96" s="31"/>
      <c r="AP96" s="31"/>
      <c r="AQ96" s="635">
        <f>Absences26810121424[[#This Row],[debut]]</f>
        <v>0</v>
      </c>
      <c r="AV96" s="56"/>
      <c r="AW96" s="56"/>
      <c r="AX96" s="56"/>
      <c r="AY96" s="56"/>
      <c r="AZ96" s="56"/>
      <c r="BA96" s="56"/>
      <c r="BB96" s="56"/>
      <c r="BC96" s="56"/>
      <c r="BD96" s="56"/>
      <c r="BE96" s="56"/>
      <c r="BF96" s="56"/>
      <c r="BG96" s="56"/>
    </row>
    <row r="97" spans="1:59" x14ac:dyDescent="0.25">
      <c r="A97" s="13"/>
      <c r="AH97" s="13"/>
      <c r="AJ97" s="13"/>
      <c r="AK97" s="13"/>
      <c r="AL97" s="13">
        <v>78</v>
      </c>
      <c r="AM97" s="11"/>
      <c r="AN97" s="23"/>
      <c r="AO97" s="31"/>
      <c r="AP97" s="31"/>
      <c r="AQ97" s="635">
        <f>Absences26810121424[[#This Row],[debut]]</f>
        <v>0</v>
      </c>
      <c r="AV97" s="389"/>
      <c r="AW97" s="389"/>
      <c r="AX97" s="389"/>
      <c r="AY97" s="389"/>
      <c r="AZ97" s="389"/>
      <c r="BA97" s="389"/>
      <c r="BB97" s="389"/>
      <c r="BC97" s="389"/>
      <c r="BD97" s="389"/>
      <c r="BE97" s="389"/>
      <c r="BF97" s="389"/>
      <c r="BG97" s="389"/>
    </row>
    <row r="98" spans="1:59" x14ac:dyDescent="0.25">
      <c r="A98" s="13"/>
      <c r="AH98" s="13"/>
      <c r="AJ98" s="13"/>
      <c r="AK98" s="13"/>
      <c r="AL98" s="13">
        <v>79</v>
      </c>
      <c r="AM98" s="11"/>
      <c r="AN98" s="23"/>
      <c r="AO98" s="31"/>
      <c r="AP98" s="31"/>
      <c r="AQ98" s="635">
        <f>Absences26810121424[[#This Row],[debut]]</f>
        <v>0</v>
      </c>
      <c r="AV98" s="386"/>
      <c r="AW98" s="386"/>
      <c r="AX98" s="386"/>
      <c r="AY98" s="386"/>
      <c r="AZ98" s="386"/>
      <c r="BA98" s="386"/>
      <c r="BB98" s="386"/>
      <c r="BC98" s="386"/>
      <c r="BD98" s="386"/>
      <c r="BE98" s="386"/>
      <c r="BF98" s="386"/>
      <c r="BG98" s="386"/>
    </row>
    <row r="99" spans="1:59" x14ac:dyDescent="0.25">
      <c r="A99" s="13"/>
      <c r="AH99" s="13"/>
      <c r="AJ99" s="13"/>
      <c r="AK99" s="13"/>
      <c r="AL99" s="13">
        <v>80</v>
      </c>
      <c r="AM99" s="11"/>
      <c r="AN99" s="23"/>
      <c r="AO99" s="31"/>
      <c r="AP99" s="31"/>
      <c r="AQ99" s="635">
        <f>Absences26810121424[[#This Row],[debut]]</f>
        <v>0</v>
      </c>
      <c r="AV99" s="386"/>
      <c r="AW99" s="386"/>
      <c r="AX99" s="386"/>
      <c r="AY99" s="386"/>
      <c r="AZ99" s="386"/>
      <c r="BA99" s="386"/>
      <c r="BB99" s="386"/>
      <c r="BC99" s="386"/>
      <c r="BD99" s="386"/>
      <c r="BE99" s="386"/>
      <c r="BF99" s="386"/>
      <c r="BG99" s="386"/>
    </row>
    <row r="100" spans="1:59" x14ac:dyDescent="0.25">
      <c r="A100" s="13"/>
      <c r="AH100" s="13"/>
      <c r="AJ100" s="13"/>
      <c r="AK100" s="13"/>
      <c r="AL100" s="13">
        <v>81</v>
      </c>
      <c r="AM100" s="11"/>
      <c r="AN100" s="23"/>
      <c r="AO100" s="31"/>
      <c r="AP100" s="31"/>
      <c r="AQ100" s="635">
        <f>Absences26810121424[[#This Row],[debut]]</f>
        <v>0</v>
      </c>
      <c r="AV100" s="386"/>
      <c r="AW100" s="386"/>
      <c r="AX100" s="386"/>
      <c r="AY100" s="386"/>
      <c r="AZ100" s="386"/>
      <c r="BA100" s="386"/>
      <c r="BB100" s="386"/>
      <c r="BC100" s="386"/>
      <c r="BD100" s="386"/>
      <c r="BE100" s="386"/>
      <c r="BF100" s="386"/>
      <c r="BG100" s="386"/>
    </row>
    <row r="101" spans="1:59" x14ac:dyDescent="0.25">
      <c r="A101" s="13"/>
      <c r="AH101" s="13"/>
      <c r="AJ101" s="13"/>
      <c r="AK101" s="13"/>
      <c r="AL101" s="13">
        <v>82</v>
      </c>
      <c r="AM101" s="11"/>
      <c r="AN101" s="23"/>
      <c r="AO101" s="31"/>
      <c r="AP101" s="31"/>
      <c r="AQ101" s="635">
        <f>Absences26810121424[[#This Row],[debut]]</f>
        <v>0</v>
      </c>
      <c r="AV101" s="386"/>
      <c r="AW101" s="386"/>
      <c r="AX101" s="386"/>
      <c r="AY101" s="386"/>
      <c r="AZ101" s="386"/>
      <c r="BA101" s="386"/>
      <c r="BB101" s="386"/>
      <c r="BC101" s="386"/>
      <c r="BD101" s="386"/>
      <c r="BE101" s="386"/>
      <c r="BF101" s="386"/>
      <c r="BG101" s="386"/>
    </row>
    <row r="102" spans="1:59" x14ac:dyDescent="0.25">
      <c r="A102" s="13"/>
      <c r="AH102" s="13"/>
      <c r="AJ102" s="13"/>
      <c r="AK102" s="13"/>
      <c r="AL102" s="13">
        <v>83</v>
      </c>
      <c r="AM102" s="11"/>
      <c r="AN102" s="23"/>
      <c r="AO102" s="31"/>
      <c r="AP102" s="31"/>
      <c r="AQ102" s="635">
        <f>Absences26810121424[[#This Row],[debut]]</f>
        <v>0</v>
      </c>
      <c r="AV102" s="56"/>
      <c r="AW102" s="56"/>
      <c r="AX102" s="56"/>
      <c r="AY102" s="56"/>
      <c r="AZ102" s="56"/>
      <c r="BA102" s="56"/>
      <c r="BB102" s="56"/>
      <c r="BC102" s="56"/>
      <c r="BD102" s="56"/>
      <c r="BE102" s="56"/>
      <c r="BF102" s="56"/>
      <c r="BG102" s="56"/>
    </row>
    <row r="103" spans="1:59" x14ac:dyDescent="0.25">
      <c r="A103" s="13"/>
      <c r="AH103" s="13"/>
      <c r="AJ103" s="13"/>
      <c r="AK103" s="13"/>
      <c r="AL103" s="13">
        <v>84</v>
      </c>
      <c r="AM103" s="11"/>
      <c r="AN103" s="23"/>
      <c r="AO103" s="31"/>
      <c r="AP103" s="31"/>
      <c r="AQ103" s="635">
        <f>Absences26810121424[[#This Row],[debut]]</f>
        <v>0</v>
      </c>
      <c r="AV103" s="56"/>
      <c r="AW103" s="56"/>
      <c r="AX103" s="56"/>
      <c r="AY103" s="56"/>
      <c r="AZ103" s="56"/>
      <c r="BA103" s="56"/>
      <c r="BB103" s="56"/>
      <c r="BC103" s="56"/>
      <c r="BD103" s="56"/>
      <c r="BE103" s="56"/>
      <c r="BF103" s="56"/>
      <c r="BG103" s="56"/>
    </row>
    <row r="104" spans="1:59" x14ac:dyDescent="0.25">
      <c r="A104" s="13"/>
      <c r="AH104" s="13"/>
      <c r="AJ104" s="13"/>
      <c r="AK104" s="13"/>
      <c r="AL104" s="13">
        <v>85</v>
      </c>
      <c r="AM104" s="11"/>
      <c r="AN104" s="23"/>
      <c r="AO104" s="31"/>
      <c r="AP104" s="31"/>
      <c r="AQ104" s="635">
        <f>Absences26810121424[[#This Row],[debut]]</f>
        <v>0</v>
      </c>
    </row>
    <row r="105" spans="1:59" x14ac:dyDescent="0.25">
      <c r="A105" s="13"/>
      <c r="AH105" s="13"/>
      <c r="AJ105" s="13"/>
      <c r="AK105" s="13"/>
      <c r="AL105" s="13">
        <v>86</v>
      </c>
      <c r="AM105" s="11"/>
      <c r="AN105" s="23"/>
      <c r="AO105" s="31"/>
      <c r="AP105" s="31"/>
      <c r="AQ105" s="635">
        <f>Absences26810121424[[#This Row],[debut]]</f>
        <v>0</v>
      </c>
    </row>
    <row r="106" spans="1:59" x14ac:dyDescent="0.25">
      <c r="A106" s="13"/>
      <c r="AH106" s="13"/>
      <c r="AJ106" s="13"/>
      <c r="AK106" s="13"/>
      <c r="AL106" s="13">
        <v>87</v>
      </c>
      <c r="AM106" s="11"/>
      <c r="AN106" s="23"/>
      <c r="AO106" s="31"/>
      <c r="AP106" s="31"/>
      <c r="AQ106" s="635">
        <f>Absences26810121424[[#This Row],[debut]]</f>
        <v>0</v>
      </c>
    </row>
    <row r="107" spans="1:59" ht="14.25" customHeight="1" x14ac:dyDescent="0.25">
      <c r="A107" s="13"/>
      <c r="AH107" s="13"/>
      <c r="AJ107" s="13"/>
      <c r="AK107" s="13"/>
      <c r="AL107" s="13">
        <v>88</v>
      </c>
      <c r="AM107" s="11"/>
      <c r="AN107" s="23"/>
      <c r="AO107" s="31"/>
      <c r="AP107" s="31"/>
      <c r="AQ107" s="635">
        <f>Absences26810121424[[#This Row],[debut]]</f>
        <v>0</v>
      </c>
    </row>
    <row r="108" spans="1:59" x14ac:dyDescent="0.25">
      <c r="A108" s="13"/>
      <c r="AH108" s="13"/>
      <c r="AJ108" s="13"/>
      <c r="AK108" s="13"/>
      <c r="AL108" s="13">
        <v>89</v>
      </c>
      <c r="AM108" s="11"/>
      <c r="AN108" s="23"/>
      <c r="AO108" s="31"/>
      <c r="AP108" s="31"/>
      <c r="AQ108" s="635">
        <f>Absences26810121424[[#This Row],[debut]]</f>
        <v>0</v>
      </c>
    </row>
    <row r="109" spans="1:59" x14ac:dyDescent="0.25">
      <c r="A109" s="13"/>
      <c r="AH109" s="13"/>
      <c r="AJ109" s="13"/>
      <c r="AK109" s="13"/>
      <c r="AL109" s="13">
        <v>90</v>
      </c>
      <c r="AM109" s="11"/>
      <c r="AN109" s="23"/>
      <c r="AO109" s="31"/>
      <c r="AP109" s="31"/>
      <c r="AQ109" s="635">
        <f>Absences26810121424[[#This Row],[debut]]</f>
        <v>0</v>
      </c>
    </row>
    <row r="110" spans="1:59" x14ac:dyDescent="0.25">
      <c r="A110" s="13"/>
      <c r="AH110" s="13"/>
      <c r="AJ110" s="13"/>
      <c r="AK110" s="13"/>
      <c r="AL110" s="13">
        <v>91</v>
      </c>
      <c r="AM110" s="11"/>
      <c r="AN110" s="23"/>
      <c r="AO110" s="31"/>
      <c r="AP110" s="31"/>
      <c r="AQ110" s="635">
        <f>Absences26810121424[[#This Row],[debut]]</f>
        <v>0</v>
      </c>
    </row>
    <row r="111" spans="1:59" x14ac:dyDescent="0.25">
      <c r="A111" s="13"/>
      <c r="AH111" s="13"/>
      <c r="AJ111" s="13"/>
      <c r="AK111" s="13"/>
      <c r="AL111" s="13">
        <v>92</v>
      </c>
      <c r="AM111" s="11"/>
      <c r="AN111" s="23"/>
      <c r="AO111" s="31"/>
      <c r="AP111" s="31"/>
      <c r="AQ111" s="635">
        <f>Absences26810121424[[#This Row],[debut]]</f>
        <v>0</v>
      </c>
    </row>
    <row r="112" spans="1:59" x14ac:dyDescent="0.25">
      <c r="A112" s="13"/>
      <c r="AH112" s="13"/>
      <c r="AJ112" s="13"/>
      <c r="AK112" s="13"/>
      <c r="AL112" s="13">
        <v>93</v>
      </c>
      <c r="AM112" s="11"/>
      <c r="AN112" s="23"/>
      <c r="AO112" s="31"/>
      <c r="AP112" s="31"/>
      <c r="AQ112" s="635">
        <f>Absences26810121424[[#This Row],[debut]]</f>
        <v>0</v>
      </c>
    </row>
    <row r="113" spans="1:43" ht="14.25" customHeight="1" x14ac:dyDescent="0.25">
      <c r="A113" s="13"/>
      <c r="AH113" s="13"/>
      <c r="AJ113" s="13"/>
      <c r="AK113" s="13"/>
      <c r="AL113" s="13">
        <v>94</v>
      </c>
      <c r="AM113" s="11"/>
      <c r="AN113" s="23"/>
      <c r="AO113" s="31"/>
      <c r="AP113" s="31"/>
      <c r="AQ113" s="635">
        <f>Absences26810121424[[#This Row],[debut]]</f>
        <v>0</v>
      </c>
    </row>
    <row r="114" spans="1:43" x14ac:dyDescent="0.25">
      <c r="A114" s="13"/>
      <c r="AH114" s="13"/>
      <c r="AJ114" s="13"/>
      <c r="AK114" s="13"/>
      <c r="AL114" s="13">
        <v>95</v>
      </c>
      <c r="AM114" s="11"/>
      <c r="AN114" s="23"/>
      <c r="AO114" s="31"/>
      <c r="AP114" s="31"/>
      <c r="AQ114" s="635">
        <f>Absences26810121424[[#This Row],[debut]]</f>
        <v>0</v>
      </c>
    </row>
    <row r="115" spans="1:43" x14ac:dyDescent="0.25">
      <c r="A115" s="13"/>
      <c r="AH115" s="13"/>
      <c r="AJ115" s="13"/>
      <c r="AK115" s="13"/>
      <c r="AL115" s="13">
        <v>96</v>
      </c>
      <c r="AM115" s="11"/>
      <c r="AN115" s="23"/>
      <c r="AO115" s="31"/>
      <c r="AP115" s="31"/>
      <c r="AQ115" s="635">
        <f>Absences26810121424[[#This Row],[debut]]</f>
        <v>0</v>
      </c>
    </row>
    <row r="116" spans="1:43" x14ac:dyDescent="0.25">
      <c r="A116" s="13"/>
      <c r="AH116" s="13"/>
      <c r="AJ116" s="13"/>
      <c r="AK116" s="13"/>
      <c r="AL116" s="13">
        <v>97</v>
      </c>
      <c r="AM116" s="11"/>
      <c r="AN116" s="23"/>
      <c r="AO116" s="31"/>
      <c r="AP116" s="31"/>
      <c r="AQ116" s="635">
        <f>Absences26810121424[[#This Row],[debut]]</f>
        <v>0</v>
      </c>
    </row>
    <row r="117" spans="1:43" x14ac:dyDescent="0.25">
      <c r="A117" s="13"/>
      <c r="AH117" s="13"/>
      <c r="AJ117" s="13"/>
      <c r="AK117" s="13"/>
      <c r="AL117" s="13">
        <v>98</v>
      </c>
      <c r="AM117" s="11"/>
      <c r="AN117" s="23"/>
      <c r="AO117" s="31"/>
      <c r="AP117" s="31"/>
      <c r="AQ117" s="635">
        <f>Absences26810121424[[#This Row],[debut]]</f>
        <v>0</v>
      </c>
    </row>
    <row r="118" spans="1:43" x14ac:dyDescent="0.25">
      <c r="A118" s="13"/>
      <c r="AH118" s="13"/>
      <c r="AJ118" s="13"/>
      <c r="AK118" s="13"/>
      <c r="AL118" s="13">
        <v>99</v>
      </c>
      <c r="AM118" s="11"/>
      <c r="AN118" s="23"/>
      <c r="AO118" s="31"/>
      <c r="AP118" s="31"/>
      <c r="AQ118" s="635">
        <f>Absences26810121424[[#This Row],[debut]]</f>
        <v>0</v>
      </c>
    </row>
    <row r="119" spans="1:43" ht="14.25" customHeight="1" x14ac:dyDescent="0.25">
      <c r="A119" s="13"/>
      <c r="AH119" s="13"/>
      <c r="AJ119" s="13"/>
      <c r="AK119" s="13"/>
      <c r="AL119" s="13">
        <v>100</v>
      </c>
      <c r="AM119" s="11"/>
      <c r="AN119" s="22"/>
      <c r="AO119" s="31"/>
      <c r="AP119" s="31"/>
      <c r="AQ119" s="635">
        <f>Absences26810121424[[#This Row],[debut]]</f>
        <v>0</v>
      </c>
    </row>
    <row r="120" spans="1:43" x14ac:dyDescent="0.25">
      <c r="A120" s="13"/>
      <c r="AH120" s="13"/>
      <c r="AJ120" s="13"/>
      <c r="AK120" s="13"/>
    </row>
    <row r="121" spans="1:43" x14ac:dyDescent="0.25">
      <c r="A121" s="13"/>
      <c r="AH121" s="13"/>
      <c r="AJ121" s="13"/>
      <c r="AK121" s="13"/>
    </row>
    <row r="122" spans="1:43" x14ac:dyDescent="0.25">
      <c r="A122" s="13"/>
      <c r="AH122" s="13"/>
      <c r="AJ122" s="13"/>
      <c r="AK122" s="13"/>
    </row>
    <row r="123" spans="1:43" x14ac:dyDescent="0.25">
      <c r="A123" s="13"/>
      <c r="AH123" s="13"/>
      <c r="AJ123" s="13"/>
      <c r="AK123" s="13"/>
    </row>
    <row r="124" spans="1:43" x14ac:dyDescent="0.25">
      <c r="A124" s="13"/>
      <c r="AH124" s="13"/>
      <c r="AJ124" s="13"/>
      <c r="AK124" s="13"/>
    </row>
    <row r="125" spans="1:43" ht="14.25" customHeight="1" x14ac:dyDescent="0.25">
      <c r="A125" s="13"/>
      <c r="AH125" s="13"/>
      <c r="AJ125" s="13"/>
      <c r="AK125" s="13"/>
    </row>
    <row r="126" spans="1:43" x14ac:dyDescent="0.25">
      <c r="A126" s="13"/>
      <c r="AH126" s="13"/>
      <c r="AJ126" s="13"/>
      <c r="AK126" s="13"/>
    </row>
    <row r="127" spans="1:43" x14ac:dyDescent="0.25">
      <c r="A127" s="13"/>
      <c r="AH127" s="13"/>
      <c r="AJ127" s="13"/>
      <c r="AK127" s="13"/>
    </row>
    <row r="128" spans="1:43" x14ac:dyDescent="0.25">
      <c r="A128" s="13"/>
      <c r="AH128" s="13"/>
      <c r="AJ128" s="13"/>
      <c r="AK128" s="13"/>
    </row>
    <row r="129" spans="1:37" x14ac:dyDescent="0.25">
      <c r="A129" s="13"/>
      <c r="AH129" s="13"/>
      <c r="AJ129" s="13"/>
      <c r="AK129" s="13"/>
    </row>
    <row r="130" spans="1:37" x14ac:dyDescent="0.25">
      <c r="A130" s="13"/>
      <c r="AH130" s="13"/>
    </row>
    <row r="131" spans="1:37" ht="14.25" customHeight="1" x14ac:dyDescent="0.25">
      <c r="A131" s="13"/>
      <c r="AH131" s="13"/>
    </row>
    <row r="132" spans="1:37" x14ac:dyDescent="0.25">
      <c r="A132" s="13"/>
      <c r="AH132" s="13"/>
    </row>
    <row r="133" spans="1:37" x14ac:dyDescent="0.25">
      <c r="A133" s="13"/>
      <c r="AH133" s="13"/>
    </row>
    <row r="134" spans="1:37" x14ac:dyDescent="0.25">
      <c r="A134" s="13"/>
      <c r="AH134" s="13"/>
    </row>
    <row r="135" spans="1:37" x14ac:dyDescent="0.25">
      <c r="A135" s="13"/>
      <c r="AH135" s="13"/>
    </row>
    <row r="136" spans="1:37" x14ac:dyDescent="0.25">
      <c r="A136" s="13"/>
      <c r="AH136" s="13"/>
    </row>
    <row r="137" spans="1:37" ht="14.25" customHeight="1" x14ac:dyDescent="0.25">
      <c r="A137" s="13"/>
      <c r="AH137" s="13"/>
    </row>
    <row r="138" spans="1:37" x14ac:dyDescent="0.25">
      <c r="A138" s="13"/>
      <c r="AH138" s="13"/>
    </row>
    <row r="139" spans="1:37" x14ac:dyDescent="0.25">
      <c r="A139" s="13"/>
      <c r="AH139" s="13"/>
    </row>
    <row r="140" spans="1:37" x14ac:dyDescent="0.25">
      <c r="A140" s="13"/>
      <c r="AH140" s="13"/>
    </row>
    <row r="141" spans="1:37" x14ac:dyDescent="0.25">
      <c r="A141" s="13"/>
    </row>
    <row r="142" spans="1:37" x14ac:dyDescent="0.25">
      <c r="A142" s="13"/>
    </row>
    <row r="143" spans="1:37" x14ac:dyDescent="0.25">
      <c r="A143" s="13"/>
    </row>
  </sheetData>
  <mergeCells count="26">
    <mergeCell ref="BZ2:CE3"/>
    <mergeCell ref="BZ4:CB4"/>
    <mergeCell ref="CD4:CE4"/>
    <mergeCell ref="CD5:CE5"/>
    <mergeCell ref="BZ20:CB20"/>
    <mergeCell ref="C56:D56"/>
    <mergeCell ref="A1:AI1"/>
    <mergeCell ref="AK35:AK39"/>
    <mergeCell ref="AS18:AT18"/>
    <mergeCell ref="C55:D55"/>
    <mergeCell ref="C9:AG9"/>
    <mergeCell ref="C2:G3"/>
    <mergeCell ref="I2:Q3"/>
    <mergeCell ref="U2:AG3"/>
    <mergeCell ref="I4:Q7"/>
    <mergeCell ref="AM18:AQ18"/>
    <mergeCell ref="AQ15:AQ16"/>
    <mergeCell ref="AK17:AK19"/>
    <mergeCell ref="AV74:BC74"/>
    <mergeCell ref="AV48:BG49"/>
    <mergeCell ref="AV69:BG69"/>
    <mergeCell ref="AV2:BD2"/>
    <mergeCell ref="AV4:BG4"/>
    <mergeCell ref="AV5:AV7"/>
    <mergeCell ref="AY7:BB7"/>
    <mergeCell ref="AV34:BG35"/>
  </mergeCells>
  <conditionalFormatting sqref="C10:AG12">
    <cfRule type="expression" dxfId="240" priority="204">
      <formula>OR(C$11=1,C$11=7)</formula>
    </cfRule>
  </conditionalFormatting>
  <conditionalFormatting sqref="AN119">
    <cfRule type="cellIs" dxfId="239" priority="135" operator="equal">
      <formula>"C"</formula>
    </cfRule>
    <cfRule type="cellIs" dxfId="238" priority="136" operator="equal">
      <formula>"M"</formula>
    </cfRule>
    <cfRule type="cellIs" dxfId="237" priority="137" operator="equal">
      <formula>"RTT"</formula>
    </cfRule>
    <cfRule type="cellIs" dxfId="236" priority="138" operator="equal">
      <formula>"C"</formula>
    </cfRule>
  </conditionalFormatting>
  <conditionalFormatting sqref="C16:AG16">
    <cfRule type="cellIs" dxfId="235" priority="110" operator="equal">
      <formula>"C"</formula>
    </cfRule>
    <cfRule type="cellIs" dxfId="234" priority="111" operator="equal">
      <formula>"M"</formula>
    </cfRule>
    <cfRule type="cellIs" dxfId="233" priority="112" operator="equal">
      <formula>"RTT"</formula>
    </cfRule>
    <cfRule type="cellIs" dxfId="232" priority="113" operator="equal">
      <formula>"C"</formula>
    </cfRule>
  </conditionalFormatting>
  <conditionalFormatting sqref="AN119">
    <cfRule type="expression" dxfId="231" priority="139">
      <formula>OR(#REF!=1,#REF!=7)</formula>
    </cfRule>
  </conditionalFormatting>
  <conditionalFormatting sqref="C18:AG18">
    <cfRule type="cellIs" dxfId="230" priority="105" operator="equal">
      <formula>"C"</formula>
    </cfRule>
    <cfRule type="cellIs" dxfId="229" priority="106" operator="equal">
      <formula>"M"</formula>
    </cfRule>
    <cfRule type="cellIs" dxfId="228" priority="107" operator="equal">
      <formula>"RTT"</formula>
    </cfRule>
    <cfRule type="cellIs" dxfId="227" priority="108" operator="equal">
      <formula>"C"</formula>
    </cfRule>
  </conditionalFormatting>
  <conditionalFormatting sqref="C40:AG40">
    <cfRule type="cellIs" dxfId="226" priority="50" operator="equal">
      <formula>"C"</formula>
    </cfRule>
    <cfRule type="cellIs" dxfId="225" priority="51" operator="equal">
      <formula>"M"</formula>
    </cfRule>
    <cfRule type="cellIs" dxfId="224" priority="52" operator="equal">
      <formula>"RTT"</formula>
    </cfRule>
    <cfRule type="cellIs" dxfId="223" priority="53" operator="equal">
      <formula>"C"</formula>
    </cfRule>
  </conditionalFormatting>
  <conditionalFormatting sqref="C40:AG40">
    <cfRule type="expression" dxfId="222" priority="54">
      <formula>OR(C$11=1,C$11=7)</formula>
    </cfRule>
  </conditionalFormatting>
  <conditionalFormatting sqref="C14:AG14">
    <cfRule type="expression" dxfId="221" priority="119">
      <formula>OR(C$11=1,C$11=7)</formula>
    </cfRule>
  </conditionalFormatting>
  <conditionalFormatting sqref="C16:AG16">
    <cfRule type="expression" dxfId="220" priority="114">
      <formula>OR(C$11=1,C$11=7)</formula>
    </cfRule>
  </conditionalFormatting>
  <conditionalFormatting sqref="C18:AG18">
    <cfRule type="expression" dxfId="219" priority="109">
      <formula>OR(C$11=1,C$11=7)</formula>
    </cfRule>
  </conditionalFormatting>
  <conditionalFormatting sqref="C20:AG20">
    <cfRule type="expression" dxfId="218" priority="104">
      <formula>OR(C$11=1,C$11=7)</formula>
    </cfRule>
  </conditionalFormatting>
  <conditionalFormatting sqref="C20:AG20">
    <cfRule type="cellIs" dxfId="217" priority="100" operator="equal">
      <formula>"C"</formula>
    </cfRule>
    <cfRule type="cellIs" dxfId="216" priority="101" operator="equal">
      <formula>"M"</formula>
    </cfRule>
    <cfRule type="cellIs" dxfId="215" priority="102" operator="equal">
      <formula>"RTT"</formula>
    </cfRule>
    <cfRule type="cellIs" dxfId="214" priority="103" operator="equal">
      <formula>"C"</formula>
    </cfRule>
  </conditionalFormatting>
  <conditionalFormatting sqref="C22:AG22">
    <cfRule type="expression" dxfId="213" priority="99">
      <formula>OR(C$11=1,C$11=7)</formula>
    </cfRule>
  </conditionalFormatting>
  <conditionalFormatting sqref="C22:AG22">
    <cfRule type="cellIs" dxfId="212" priority="95" operator="equal">
      <formula>"C"</formula>
    </cfRule>
    <cfRule type="cellIs" dxfId="211" priority="96" operator="equal">
      <formula>"M"</formula>
    </cfRule>
    <cfRule type="cellIs" dxfId="210" priority="97" operator="equal">
      <formula>"RTT"</formula>
    </cfRule>
    <cfRule type="cellIs" dxfId="209" priority="98" operator="equal">
      <formula>"C"</formula>
    </cfRule>
  </conditionalFormatting>
  <conditionalFormatting sqref="C24:AG24">
    <cfRule type="expression" dxfId="208" priority="94">
      <formula>OR(C$11=1,C$11=7)</formula>
    </cfRule>
  </conditionalFormatting>
  <conditionalFormatting sqref="C24:AG24">
    <cfRule type="cellIs" dxfId="207" priority="90" operator="equal">
      <formula>"C"</formula>
    </cfRule>
    <cfRule type="cellIs" dxfId="206" priority="91" operator="equal">
      <formula>"M"</formula>
    </cfRule>
    <cfRule type="cellIs" dxfId="205" priority="92" operator="equal">
      <formula>"RTT"</formula>
    </cfRule>
    <cfRule type="cellIs" dxfId="204" priority="93" operator="equal">
      <formula>"C"</formula>
    </cfRule>
  </conditionalFormatting>
  <conditionalFormatting sqref="C26:AG26">
    <cfRule type="expression" dxfId="203" priority="89">
      <formula>OR(C$11=1,C$11=7)</formula>
    </cfRule>
  </conditionalFormatting>
  <conditionalFormatting sqref="C26:AG26">
    <cfRule type="cellIs" dxfId="202" priority="85" operator="equal">
      <formula>"C"</formula>
    </cfRule>
    <cfRule type="cellIs" dxfId="201" priority="86" operator="equal">
      <formula>"M"</formula>
    </cfRule>
    <cfRule type="cellIs" dxfId="200" priority="87" operator="equal">
      <formula>"RTT"</formula>
    </cfRule>
    <cfRule type="cellIs" dxfId="199" priority="88" operator="equal">
      <formula>"C"</formula>
    </cfRule>
  </conditionalFormatting>
  <conditionalFormatting sqref="C28:AG28">
    <cfRule type="expression" dxfId="198" priority="84">
      <formula>OR(C$11=1,C$11=7)</formula>
    </cfRule>
  </conditionalFormatting>
  <conditionalFormatting sqref="C28:AG28">
    <cfRule type="cellIs" dxfId="197" priority="80" operator="equal">
      <formula>"C"</formula>
    </cfRule>
    <cfRule type="cellIs" dxfId="196" priority="81" operator="equal">
      <formula>"M"</formula>
    </cfRule>
    <cfRule type="cellIs" dxfId="195" priority="82" operator="equal">
      <formula>"RTT"</formula>
    </cfRule>
    <cfRule type="cellIs" dxfId="194" priority="83" operator="equal">
      <formula>"C"</formula>
    </cfRule>
  </conditionalFormatting>
  <conditionalFormatting sqref="C30:AG30">
    <cfRule type="expression" dxfId="193" priority="79">
      <formula>OR(C$11=1,C$11=7)</formula>
    </cfRule>
  </conditionalFormatting>
  <conditionalFormatting sqref="C30:AG30">
    <cfRule type="cellIs" dxfId="192" priority="75" operator="equal">
      <formula>"C"</formula>
    </cfRule>
    <cfRule type="cellIs" dxfId="191" priority="76" operator="equal">
      <formula>"M"</formula>
    </cfRule>
    <cfRule type="cellIs" dxfId="190" priority="77" operator="equal">
      <formula>"RTT"</formula>
    </cfRule>
    <cfRule type="cellIs" dxfId="189" priority="78" operator="equal">
      <formula>"C"</formula>
    </cfRule>
  </conditionalFormatting>
  <conditionalFormatting sqref="C32:AG32">
    <cfRule type="expression" dxfId="188" priority="74">
      <formula>OR(C$11=1,C$11=7)</formula>
    </cfRule>
  </conditionalFormatting>
  <conditionalFormatting sqref="C32:AG32">
    <cfRule type="cellIs" dxfId="187" priority="70" operator="equal">
      <formula>"C"</formula>
    </cfRule>
    <cfRule type="cellIs" dxfId="186" priority="71" operator="equal">
      <formula>"M"</formula>
    </cfRule>
    <cfRule type="cellIs" dxfId="185" priority="72" operator="equal">
      <formula>"RTT"</formula>
    </cfRule>
    <cfRule type="cellIs" dxfId="184" priority="73" operator="equal">
      <formula>"C"</formula>
    </cfRule>
  </conditionalFormatting>
  <conditionalFormatting sqref="C34:AG34">
    <cfRule type="expression" dxfId="183" priority="69">
      <formula>OR(C$11=1,C$11=7)</formula>
    </cfRule>
  </conditionalFormatting>
  <conditionalFormatting sqref="C34:AG34">
    <cfRule type="cellIs" dxfId="182" priority="65" operator="equal">
      <formula>"C"</formula>
    </cfRule>
    <cfRule type="cellIs" dxfId="181" priority="66" operator="equal">
      <formula>"M"</formula>
    </cfRule>
    <cfRule type="cellIs" dxfId="180" priority="67" operator="equal">
      <formula>"RTT"</formula>
    </cfRule>
    <cfRule type="cellIs" dxfId="179" priority="68" operator="equal">
      <formula>"C"</formula>
    </cfRule>
  </conditionalFormatting>
  <conditionalFormatting sqref="C36:AG36">
    <cfRule type="expression" dxfId="178" priority="64">
      <formula>OR(C$11=1,C$11=7)</formula>
    </cfRule>
  </conditionalFormatting>
  <conditionalFormatting sqref="C36:AG36">
    <cfRule type="cellIs" dxfId="177" priority="60" operator="equal">
      <formula>"C"</formula>
    </cfRule>
    <cfRule type="cellIs" dxfId="176" priority="61" operator="equal">
      <formula>"M"</formula>
    </cfRule>
    <cfRule type="cellIs" dxfId="175" priority="62" operator="equal">
      <formula>"RTT"</formula>
    </cfRule>
    <cfRule type="cellIs" dxfId="174" priority="63" operator="equal">
      <formula>"C"</formula>
    </cfRule>
  </conditionalFormatting>
  <conditionalFormatting sqref="C38:AG38">
    <cfRule type="expression" dxfId="173" priority="59">
      <formula>OR(C$11=1,C$11=7)</formula>
    </cfRule>
  </conditionalFormatting>
  <conditionalFormatting sqref="C38:AG38">
    <cfRule type="cellIs" dxfId="172" priority="55" operator="equal">
      <formula>"C"</formula>
    </cfRule>
    <cfRule type="cellIs" dxfId="171" priority="56" operator="equal">
      <formula>"M"</formula>
    </cfRule>
    <cfRule type="cellIs" dxfId="170" priority="57" operator="equal">
      <formula>"RTT"</formula>
    </cfRule>
    <cfRule type="cellIs" dxfId="169" priority="58" operator="equal">
      <formula>"C"</formula>
    </cfRule>
  </conditionalFormatting>
  <conditionalFormatting sqref="AT25">
    <cfRule type="cellIs" dxfId="168" priority="10" operator="equal">
      <formula>"C"</formula>
    </cfRule>
    <cfRule type="cellIs" dxfId="167" priority="11" operator="equal">
      <formula>"M"</formula>
    </cfRule>
    <cfRule type="cellIs" dxfId="166" priority="12" operator="equal">
      <formula>"RTT"</formula>
    </cfRule>
    <cfRule type="cellIs" dxfId="165" priority="13" operator="equal">
      <formula>"C"</formula>
    </cfRule>
  </conditionalFormatting>
  <conditionalFormatting sqref="C7">
    <cfRule type="cellIs" dxfId="164" priority="15" operator="equal">
      <formula>"C"</formula>
    </cfRule>
    <cfRule type="cellIs" dxfId="163" priority="16" operator="equal">
      <formula>"M"</formula>
    </cfRule>
    <cfRule type="cellIs" dxfId="162" priority="17" operator="equal">
      <formula>"RTT"</formula>
    </cfRule>
    <cfRule type="cellIs" dxfId="161" priority="18" operator="equal">
      <formula>"C"</formula>
    </cfRule>
  </conditionalFormatting>
  <conditionalFormatting sqref="AN33">
    <cfRule type="cellIs" dxfId="160" priority="25" operator="equal">
      <formula>"C"</formula>
    </cfRule>
    <cfRule type="cellIs" dxfId="159" priority="26" operator="equal">
      <formula>"M"</formula>
    </cfRule>
    <cfRule type="cellIs" dxfId="158" priority="27" operator="equal">
      <formula>"RTT"</formula>
    </cfRule>
    <cfRule type="cellIs" dxfId="157" priority="28" operator="equal">
      <formula>"C"</formula>
    </cfRule>
  </conditionalFormatting>
  <conditionalFormatting sqref="AN33">
    <cfRule type="expression" dxfId="156" priority="29">
      <formula>OR(#REF!=1,#REF!=7)</formula>
    </cfRule>
  </conditionalFormatting>
  <conditionalFormatting sqref="AN25">
    <cfRule type="cellIs" dxfId="155" priority="30" operator="equal">
      <formula>"C"</formula>
    </cfRule>
    <cfRule type="cellIs" dxfId="154" priority="31" operator="equal">
      <formula>"M"</formula>
    </cfRule>
    <cfRule type="cellIs" dxfId="153" priority="32" operator="equal">
      <formula>"RTT"</formula>
    </cfRule>
    <cfRule type="cellIs" dxfId="152" priority="33" operator="equal">
      <formula>"C"</formula>
    </cfRule>
  </conditionalFormatting>
  <conditionalFormatting sqref="AN25">
    <cfRule type="expression" dxfId="151" priority="34">
      <formula>OR(#REF!=1,#REF!=7)</formula>
    </cfRule>
  </conditionalFormatting>
  <conditionalFormatting sqref="C7">
    <cfRule type="expression" dxfId="150" priority="19">
      <formula>OR(#REF!=1,#REF!=7)</formula>
    </cfRule>
  </conditionalFormatting>
  <conditionalFormatting sqref="AT25">
    <cfRule type="expression" dxfId="149" priority="14">
      <formula>OR(#REF!=1,#REF!=7)</formula>
    </cfRule>
  </conditionalFormatting>
  <conditionalFormatting sqref="C12:AG12 C14:AG14 C16:AG16 C18:AG18 C20:AG20 C22:AG22 C24:AG24 C26:AG26 C28:AG28 C30:AG30 C32:AG32 C34:AG34 C36:AG36 C38:AG38 C40:AG40">
    <cfRule type="cellIs" dxfId="148" priority="6" operator="equal">
      <formula>"D ? !"</formula>
    </cfRule>
    <cfRule type="cellIs" dxfId="147" priority="7" operator="equal">
      <formula>"AT"</formula>
    </cfRule>
    <cfRule type="cellIs" dxfId="146" priority="8" operator="equal">
      <formula>"Aap"</formula>
    </cfRule>
    <cfRule type="cellIs" dxfId="145" priority="9" operator="equal">
      <formula>"Cp"</formula>
    </cfRule>
    <cfRule type="cellIs" dxfId="144" priority="115" operator="equal">
      <formula>"C"</formula>
    </cfRule>
    <cfRule type="cellIs" dxfId="143" priority="117" operator="equal">
      <formula>"RTT"</formula>
    </cfRule>
    <cfRule type="cellIs" dxfId="142" priority="201" operator="equal">
      <formula>"M"</formula>
    </cfRule>
    <cfRule type="cellIs" dxfId="141" priority="202" operator="equal">
      <formula>"RTT"</formula>
    </cfRule>
  </conditionalFormatting>
  <conditionalFormatting sqref="CA21:CA34">
    <cfRule type="expression" dxfId="140" priority="2" stopIfTrue="1">
      <formula>WEEKDAY(CA21,2)=6</formula>
    </cfRule>
    <cfRule type="expression" dxfId="139" priority="3" stopIfTrue="1">
      <formula>WEEKDAY(CA21,2)=7</formula>
    </cfRule>
  </conditionalFormatting>
  <conditionalFormatting sqref="CA5:CA18">
    <cfRule type="expression" dxfId="138" priority="4" stopIfTrue="1">
      <formula>WEEKDAY(CA5,2)=6</formula>
    </cfRule>
    <cfRule type="expression" dxfId="137" priority="5" stopIfTrue="1">
      <formula>WEEKDAY(CA5,2)=7</formula>
    </cfRule>
  </conditionalFormatting>
  <conditionalFormatting sqref="C10:AG11">
    <cfRule type="expression" dxfId="136" priority="1">
      <formula>C$8=VLOOKUP(C$8,$BZ$5:$CA$18,2,0)</formula>
    </cfRule>
  </conditionalFormatting>
  <dataValidations count="1">
    <dataValidation type="list" allowBlank="1" showInputMessage="1" showErrorMessage="1" sqref="M48:N48 AN34:AN119" xr:uid="{C1BBD5F7-05FE-4D25-9501-15F7194A2326}">
      <formula1>$I$3:$I$3</formula1>
    </dataValidation>
  </dataValidations>
  <hyperlinks>
    <hyperlink ref="U5" r:id="rId1" xr:uid="{88F3CF6A-5A1F-47CC-BEA9-E9CF9A05E894}"/>
  </hyperlinks>
  <pageMargins left="0.7" right="0.7" top="0.75" bottom="0.75" header="0.3" footer="0.3"/>
  <pageSetup paperSize="9" orientation="portrait" r:id="rId2"/>
  <drawing r:id="rId3"/>
  <legacyDrawing r:id="rId4"/>
  <tableParts count="2">
    <tablePart r:id="rId5"/>
    <tablePart r:id="rId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41EA-9B92-411C-8295-8B3622821A21}">
  <sheetPr codeName="Feuil8"/>
  <dimension ref="A1:CE143"/>
  <sheetViews>
    <sheetView zoomScale="85" zoomScaleNormal="85" workbookViewId="0">
      <selection activeCell="C82" sqref="C82"/>
    </sheetView>
  </sheetViews>
  <sheetFormatPr baseColWidth="10" defaultRowHeight="15.75" x14ac:dyDescent="0.25"/>
  <cols>
    <col min="1" max="1" width="3.625" customWidth="1"/>
    <col min="3" max="33" width="5.625" customWidth="1"/>
    <col min="40" max="40" width="15.125" customWidth="1"/>
    <col min="43" max="43" width="17" customWidth="1"/>
    <col min="45" max="45" width="26.5" customWidth="1"/>
    <col min="48" max="50" width="9.375" style="58" customWidth="1"/>
    <col min="51" max="51" width="3.625" style="58" customWidth="1"/>
    <col min="52" max="58" width="9.375" style="58" customWidth="1"/>
    <col min="59" max="59" width="32.25" style="58" customWidth="1"/>
    <col min="61" max="61" width="3" style="289" customWidth="1"/>
    <col min="62" max="62" width="8.25" style="289" customWidth="1"/>
    <col min="63" max="63" width="7.625" style="289" customWidth="1"/>
    <col min="64" max="64" width="12.125" style="289" customWidth="1"/>
    <col min="65" max="65" width="11.875" style="289" customWidth="1"/>
    <col min="66" max="70" width="7.625" style="289" customWidth="1"/>
    <col min="71" max="71" width="8.75" style="289" customWidth="1"/>
    <col min="72" max="72" width="7.875" style="289" customWidth="1"/>
    <col min="73" max="73" width="4" style="289" customWidth="1"/>
    <col min="74" max="74" width="12.5" style="289" customWidth="1"/>
    <col min="75" max="75" width="13.375" style="289" customWidth="1"/>
    <col min="76" max="76" width="3.625" style="289" customWidth="1"/>
    <col min="78" max="78" width="17.5" customWidth="1"/>
    <col min="79" max="79" width="42.25" customWidth="1"/>
    <col min="80" max="80" width="27.75" customWidth="1"/>
    <col min="82" max="82" width="18" customWidth="1"/>
    <col min="83" max="83" width="21.625" customWidth="1"/>
  </cols>
  <sheetData>
    <row r="1" spans="1:83" ht="23.25" x14ac:dyDescent="0.25">
      <c r="A1" s="1483" t="s">
        <v>680</v>
      </c>
      <c r="B1" s="1484"/>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5"/>
      <c r="AJ1" s="13"/>
      <c r="AK1" s="672" t="s">
        <v>869</v>
      </c>
      <c r="AM1" s="13"/>
      <c r="AN1" s="13"/>
      <c r="AO1" s="13"/>
      <c r="AP1" s="13"/>
      <c r="AQ1" s="13"/>
      <c r="AR1" s="13"/>
      <c r="AS1" s="13"/>
      <c r="AT1" s="13"/>
      <c r="AU1" s="13"/>
    </row>
    <row r="2" spans="1:83" ht="23.25" customHeight="1" x14ac:dyDescent="0.25">
      <c r="A2" s="13"/>
      <c r="B2" s="13"/>
      <c r="C2" s="1517">
        <v>2020</v>
      </c>
      <c r="D2" s="1517"/>
      <c r="E2" s="1517"/>
      <c r="F2" s="1517"/>
      <c r="G2" s="1517"/>
      <c r="H2" s="13"/>
      <c r="I2" s="1487" t="s">
        <v>55</v>
      </c>
      <c r="J2" s="1487"/>
      <c r="K2" s="1487"/>
      <c r="L2" s="1487"/>
      <c r="M2" s="1487"/>
      <c r="N2" s="1487"/>
      <c r="O2" s="1487"/>
      <c r="P2" s="1487"/>
      <c r="Q2" s="1487"/>
      <c r="R2" s="34"/>
      <c r="S2" s="13"/>
      <c r="T2" s="13"/>
      <c r="U2" s="1512" t="s">
        <v>498</v>
      </c>
      <c r="V2" s="1512"/>
      <c r="W2" s="1512"/>
      <c r="X2" s="1512"/>
      <c r="Y2" s="1512"/>
      <c r="Z2" s="1512"/>
      <c r="AA2" s="1512"/>
      <c r="AB2" s="1512"/>
      <c r="AC2" s="1512"/>
      <c r="AD2" s="1512"/>
      <c r="AE2" s="1512"/>
      <c r="AF2" s="1512"/>
      <c r="AG2" s="1512"/>
      <c r="AH2" s="13"/>
      <c r="AI2" s="13"/>
      <c r="AJ2" s="13"/>
      <c r="AK2" s="250" t="s">
        <v>494</v>
      </c>
      <c r="AM2" s="13"/>
      <c r="AN2" s="13"/>
      <c r="AO2" s="13"/>
      <c r="AP2" s="13"/>
      <c r="AQ2" s="13"/>
      <c r="AR2" s="13"/>
      <c r="AS2" s="13"/>
      <c r="AT2" s="13"/>
      <c r="AU2" s="13"/>
      <c r="AV2" s="1502" t="s">
        <v>149</v>
      </c>
      <c r="AW2" s="1503"/>
      <c r="AX2" s="1503"/>
      <c r="AY2" s="1503"/>
      <c r="AZ2" s="1503"/>
      <c r="BA2" s="1503"/>
      <c r="BB2" s="1503"/>
      <c r="BC2" s="1503"/>
      <c r="BD2" s="1503"/>
      <c r="BE2" s="65"/>
      <c r="BF2" s="74" t="s">
        <v>57</v>
      </c>
      <c r="BG2" s="66">
        <f ca="1">NOW()</f>
        <v>44232.80612465278</v>
      </c>
      <c r="BI2" s="1090" t="s">
        <v>680</v>
      </c>
      <c r="BJ2" s="1091"/>
      <c r="BK2" s="1092"/>
      <c r="BL2" s="1092"/>
      <c r="BM2" s="1092"/>
      <c r="BN2" s="1092"/>
      <c r="BO2" s="1092"/>
      <c r="BP2" s="1092"/>
      <c r="BQ2" s="1092"/>
      <c r="BR2" s="1092"/>
      <c r="BS2" s="1092"/>
      <c r="BT2" s="1092"/>
      <c r="BU2" s="1092"/>
      <c r="BV2" s="1092"/>
      <c r="BW2" s="1092"/>
      <c r="BX2" s="1093"/>
      <c r="BZ2" s="1489" t="s">
        <v>892</v>
      </c>
      <c r="CA2" s="1489"/>
      <c r="CB2" s="1489"/>
      <c r="CC2" s="1489"/>
      <c r="CD2" s="1489"/>
      <c r="CE2" s="1489"/>
    </row>
    <row r="3" spans="1:83" ht="15.75" customHeight="1" x14ac:dyDescent="0.25">
      <c r="A3" s="13"/>
      <c r="B3" s="13"/>
      <c r="C3" s="1467"/>
      <c r="D3" s="1467"/>
      <c r="E3" s="1467"/>
      <c r="F3" s="1467"/>
      <c r="G3" s="1467"/>
      <c r="H3" s="13"/>
      <c r="I3" s="1487"/>
      <c r="J3" s="1487"/>
      <c r="K3" s="1487"/>
      <c r="L3" s="1487"/>
      <c r="M3" s="1487"/>
      <c r="N3" s="1487"/>
      <c r="O3" s="1487"/>
      <c r="P3" s="1487"/>
      <c r="Q3" s="1487"/>
      <c r="R3" s="34"/>
      <c r="S3" s="13"/>
      <c r="T3" s="13"/>
      <c r="U3" s="1512"/>
      <c r="V3" s="1512"/>
      <c r="W3" s="1512"/>
      <c r="X3" s="1512"/>
      <c r="Y3" s="1512"/>
      <c r="Z3" s="1512"/>
      <c r="AA3" s="1512"/>
      <c r="AB3" s="1512"/>
      <c r="AC3" s="1512"/>
      <c r="AD3" s="1512"/>
      <c r="AE3" s="1512"/>
      <c r="AF3" s="1512"/>
      <c r="AG3" s="1512"/>
      <c r="AH3" s="13"/>
      <c r="AI3" s="13"/>
      <c r="AJ3" s="13"/>
      <c r="AK3" s="250" t="s">
        <v>496</v>
      </c>
      <c r="AM3" s="13"/>
      <c r="AN3" s="13"/>
      <c r="AO3" s="13"/>
      <c r="AP3" s="13"/>
      <c r="AQ3" s="13"/>
      <c r="AR3" s="13"/>
      <c r="AS3" s="13"/>
      <c r="AT3" s="13"/>
      <c r="AU3" s="13"/>
      <c r="AV3" s="47"/>
      <c r="AW3" s="47"/>
      <c r="AX3" s="47"/>
      <c r="AY3" s="47"/>
      <c r="AZ3" s="47"/>
      <c r="BA3" s="48"/>
      <c r="BB3" s="48"/>
      <c r="BC3" s="48"/>
      <c r="BD3" s="56"/>
      <c r="BE3" s="56"/>
      <c r="BF3" s="56"/>
      <c r="BG3" s="56"/>
      <c r="BI3" s="274" t="s">
        <v>506</v>
      </c>
      <c r="BJ3" s="275"/>
      <c r="BK3" s="1080" t="s">
        <v>650</v>
      </c>
      <c r="BL3" s="1080"/>
      <c r="BM3" s="1080"/>
      <c r="BN3" s="1080"/>
      <c r="BO3" s="1081"/>
      <c r="BP3" s="276" t="s">
        <v>507</v>
      </c>
      <c r="BQ3" s="277"/>
      <c r="BR3" s="683"/>
      <c r="BS3" s="1080" t="s">
        <v>683</v>
      </c>
      <c r="BT3" s="1080"/>
      <c r="BU3" s="1080"/>
      <c r="BV3" s="1080"/>
      <c r="BW3" s="1080"/>
      <c r="BX3" s="1084"/>
      <c r="BZ3" s="1489"/>
      <c r="CA3" s="1489"/>
      <c r="CB3" s="1489"/>
      <c r="CC3" s="1489"/>
      <c r="CD3" s="1489"/>
      <c r="CE3" s="1489"/>
    </row>
    <row r="4" spans="1:83" ht="15.75" customHeight="1" thickBot="1" x14ac:dyDescent="0.3">
      <c r="A4" s="13"/>
      <c r="B4" s="660"/>
      <c r="C4" s="662"/>
      <c r="D4" s="665"/>
      <c r="E4" s="638" t="s">
        <v>362</v>
      </c>
      <c r="F4" s="665">
        <f>COUNTIF(C12:AH41,E4)</f>
        <v>0</v>
      </c>
      <c r="G4" s="668" t="s">
        <v>820</v>
      </c>
      <c r="H4" s="13"/>
      <c r="I4" s="1518" t="s">
        <v>501</v>
      </c>
      <c r="J4" s="1518"/>
      <c r="K4" s="1518"/>
      <c r="L4" s="1518"/>
      <c r="M4" s="1518"/>
      <c r="N4" s="1518"/>
      <c r="O4" s="1518"/>
      <c r="P4" s="1518"/>
      <c r="Q4" s="1518"/>
      <c r="R4" s="13"/>
      <c r="S4" s="13"/>
      <c r="T4" s="13"/>
      <c r="U4" s="13"/>
      <c r="V4" s="13"/>
      <c r="W4" s="13"/>
      <c r="X4" s="13"/>
      <c r="Y4" s="13"/>
      <c r="Z4" s="13"/>
      <c r="AA4" s="13"/>
      <c r="AB4" s="13"/>
      <c r="AC4" s="13"/>
      <c r="AD4" s="13"/>
      <c r="AE4" s="13"/>
      <c r="AF4" s="13"/>
      <c r="AG4" s="16" t="s">
        <v>52</v>
      </c>
      <c r="AH4" s="13"/>
      <c r="AI4" s="13"/>
      <c r="AJ4" s="13"/>
      <c r="AK4" s="250" t="s">
        <v>495</v>
      </c>
      <c r="AM4" s="13"/>
      <c r="AN4" s="13"/>
      <c r="AO4" s="13"/>
      <c r="AP4" s="13"/>
      <c r="AQ4" s="13"/>
      <c r="AR4" s="13"/>
      <c r="AS4" s="13"/>
      <c r="AT4" s="13"/>
      <c r="AU4" s="13"/>
      <c r="AV4" s="1504" t="s">
        <v>779</v>
      </c>
      <c r="AW4" s="1504"/>
      <c r="AX4" s="1504"/>
      <c r="AY4" s="1504"/>
      <c r="AZ4" s="1504"/>
      <c r="BA4" s="1504"/>
      <c r="BB4" s="1504"/>
      <c r="BC4" s="1504"/>
      <c r="BD4" s="1504"/>
      <c r="BE4" s="1504"/>
      <c r="BF4" s="1504"/>
      <c r="BG4" s="1504"/>
      <c r="BI4" s="278" t="s">
        <v>651</v>
      </c>
      <c r="BJ4" s="279"/>
      <c r="BK4" s="1082" t="s">
        <v>681</v>
      </c>
      <c r="BL4" s="1082"/>
      <c r="BM4" s="1082"/>
      <c r="BN4" s="1082"/>
      <c r="BO4" s="1083"/>
      <c r="BP4" s="280" t="s">
        <v>652</v>
      </c>
      <c r="BQ4" s="281"/>
      <c r="BR4" s="684"/>
      <c r="BS4" s="1082" t="s">
        <v>653</v>
      </c>
      <c r="BT4" s="1082"/>
      <c r="BU4" s="1082"/>
      <c r="BV4" s="1082"/>
      <c r="BW4" s="1082"/>
      <c r="BX4" s="1085"/>
      <c r="BZ4" s="1490">
        <f>C2</f>
        <v>2020</v>
      </c>
      <c r="CA4" s="1491"/>
      <c r="CB4" s="1492"/>
      <c r="CC4" s="563"/>
      <c r="CD4" s="1493">
        <f>BZ20+1</f>
        <v>2022</v>
      </c>
      <c r="CE4" s="1494"/>
    </row>
    <row r="5" spans="1:83" ht="18.75" customHeight="1" x14ac:dyDescent="0.25">
      <c r="A5" s="13"/>
      <c r="B5" s="660" t="s">
        <v>818</v>
      </c>
      <c r="C5" s="663" t="s">
        <v>800</v>
      </c>
      <c r="D5" s="665">
        <f>COUNTIF(C12:AH41,C5)</f>
        <v>7</v>
      </c>
      <c r="E5" s="666" t="s">
        <v>7</v>
      </c>
      <c r="F5" s="665">
        <f>COUNTIF(C12:AH41,E5)</f>
        <v>10</v>
      </c>
      <c r="G5" s="669" t="s">
        <v>700</v>
      </c>
      <c r="H5" s="13"/>
      <c r="I5" s="1518"/>
      <c r="J5" s="1518"/>
      <c r="K5" s="1518"/>
      <c r="L5" s="1518"/>
      <c r="M5" s="1518"/>
      <c r="N5" s="1518"/>
      <c r="O5" s="1518"/>
      <c r="P5" s="1518"/>
      <c r="Q5" s="1518"/>
      <c r="R5" s="13"/>
      <c r="S5" s="13"/>
      <c r="T5" s="15" t="s">
        <v>53</v>
      </c>
      <c r="U5" s="17" t="s">
        <v>35</v>
      </c>
      <c r="V5" s="18"/>
      <c r="W5" s="18"/>
      <c r="X5" s="13"/>
      <c r="Y5" s="13"/>
      <c r="Z5" s="13"/>
      <c r="AA5" s="13"/>
      <c r="AB5" s="13"/>
      <c r="AC5" s="13"/>
      <c r="AD5" s="13"/>
      <c r="AE5" s="13"/>
      <c r="AF5" s="13"/>
      <c r="AG5" s="13"/>
      <c r="AH5" s="13"/>
      <c r="AI5" s="13"/>
      <c r="AJ5" s="13"/>
      <c r="AK5" s="250" t="s">
        <v>863</v>
      </c>
      <c r="AM5" s="13"/>
      <c r="AN5" s="13"/>
      <c r="AO5" s="13"/>
      <c r="AP5" s="13"/>
      <c r="AQ5" s="13"/>
      <c r="AR5" s="13"/>
      <c r="AS5" s="13"/>
      <c r="AT5" s="13"/>
      <c r="AU5" s="13"/>
      <c r="AV5" s="1504" t="s">
        <v>78</v>
      </c>
      <c r="AW5" s="67" t="s">
        <v>58</v>
      </c>
      <c r="AX5" s="68"/>
      <c r="AY5" s="68"/>
      <c r="AZ5" s="68"/>
      <c r="BA5" s="68"/>
      <c r="BB5" s="68"/>
      <c r="BC5" s="68"/>
      <c r="BD5" s="56"/>
      <c r="BE5" s="56"/>
      <c r="BF5" s="56"/>
      <c r="BG5" s="56"/>
      <c r="BI5" s="278" t="s">
        <v>655</v>
      </c>
      <c r="BJ5" s="279"/>
      <c r="BK5" s="1082" t="s">
        <v>682</v>
      </c>
      <c r="BL5" s="1082"/>
      <c r="BM5" s="1082"/>
      <c r="BN5" s="1082"/>
      <c r="BO5" s="1083"/>
      <c r="BP5" s="280" t="s">
        <v>656</v>
      </c>
      <c r="BQ5" s="281"/>
      <c r="BR5" s="684"/>
      <c r="BS5" s="1082" t="s">
        <v>657</v>
      </c>
      <c r="BT5" s="1082"/>
      <c r="BU5" s="1082"/>
      <c r="BV5" s="1082"/>
      <c r="BW5" s="1082"/>
      <c r="BX5" s="1085"/>
      <c r="BZ5" s="359">
        <f t="shared" ref="BZ5:BZ17" si="0">CA5</f>
        <v>43831</v>
      </c>
      <c r="CA5" s="360">
        <f>DATE(BZ4,1,1)</f>
        <v>43831</v>
      </c>
      <c r="CB5" s="361" t="s">
        <v>721</v>
      </c>
      <c r="CC5" s="563"/>
      <c r="CD5" s="1495" t="s">
        <v>722</v>
      </c>
      <c r="CE5" s="1496"/>
    </row>
    <row r="6" spans="1:83" ht="15.75" customHeight="1" x14ac:dyDescent="0.3">
      <c r="A6" s="13"/>
      <c r="B6" s="660" t="s">
        <v>819</v>
      </c>
      <c r="C6" s="636" t="s">
        <v>8</v>
      </c>
      <c r="D6" s="665">
        <f>COUNTIF(C12:AH41,C6)</f>
        <v>0</v>
      </c>
      <c r="E6" s="637" t="s">
        <v>360</v>
      </c>
      <c r="F6" s="665">
        <f>COUNTIF(C12:AH41,E6)</f>
        <v>11</v>
      </c>
      <c r="G6" s="670" t="s">
        <v>821</v>
      </c>
      <c r="H6" s="13"/>
      <c r="I6" s="1518"/>
      <c r="J6" s="1518"/>
      <c r="K6" s="1518"/>
      <c r="L6" s="1518"/>
      <c r="M6" s="1518"/>
      <c r="N6" s="1518"/>
      <c r="O6" s="1518"/>
      <c r="P6" s="1518"/>
      <c r="Q6" s="1518"/>
      <c r="R6" s="13"/>
      <c r="S6" s="263"/>
      <c r="T6" s="13"/>
      <c r="U6" s="263" t="s">
        <v>870</v>
      </c>
      <c r="V6" s="13"/>
      <c r="W6" s="13"/>
      <c r="X6" s="13"/>
      <c r="Y6" s="13"/>
      <c r="Z6" s="13"/>
      <c r="AA6" s="13"/>
      <c r="AB6" s="13"/>
      <c r="AC6" s="13"/>
      <c r="AD6" s="13"/>
      <c r="AE6" s="13"/>
      <c r="AF6" s="13"/>
      <c r="AG6" s="13"/>
      <c r="AH6" s="13"/>
      <c r="AI6" s="13"/>
      <c r="AJ6" s="13"/>
      <c r="AK6" s="44" t="s">
        <v>497</v>
      </c>
      <c r="AM6" s="13"/>
      <c r="AN6" s="13"/>
      <c r="AO6" s="13"/>
      <c r="AP6" s="13"/>
      <c r="AQ6" s="13"/>
      <c r="AR6" s="13"/>
      <c r="AS6" s="13"/>
      <c r="AT6" s="13"/>
      <c r="AU6" s="13"/>
      <c r="AV6" s="1504"/>
      <c r="AW6" s="46" t="s">
        <v>59</v>
      </c>
      <c r="AX6" s="47"/>
      <c r="AY6" s="48"/>
      <c r="AZ6" s="47" t="s">
        <v>60</v>
      </c>
      <c r="BA6" s="46"/>
      <c r="BB6" s="46"/>
      <c r="BC6" s="49"/>
      <c r="BD6" s="48"/>
      <c r="BE6" s="48"/>
      <c r="BF6" s="48"/>
      <c r="BG6" s="48"/>
      <c r="BI6" s="1086" t="s">
        <v>512</v>
      </c>
      <c r="BJ6" s="1087"/>
      <c r="BK6" s="1087"/>
      <c r="BL6" s="1087"/>
      <c r="BM6" s="1087"/>
      <c r="BN6" s="1087"/>
      <c r="BO6" s="1087"/>
      <c r="BP6" s="1087"/>
      <c r="BQ6" s="1087"/>
      <c r="BR6" s="1087"/>
      <c r="BS6" s="1087"/>
      <c r="BT6" s="1087"/>
      <c r="BU6" s="1087"/>
      <c r="BV6" s="1087"/>
      <c r="BW6" s="1087"/>
      <c r="BX6" s="1088"/>
      <c r="BZ6" s="359">
        <f t="shared" si="0"/>
        <v>43933</v>
      </c>
      <c r="CA6" s="360">
        <f>DATE(BZ4,3,29.56+0.979*MOD(204-11*MOD(BZ4,19),30)-WEEKDAY(DATE(BZ4,3,28.56+0.979*MOD(204-11*MOD(BZ4,19),30))))</f>
        <v>43933</v>
      </c>
      <c r="CB6" s="361" t="s">
        <v>585</v>
      </c>
      <c r="CC6" s="563"/>
      <c r="CD6" s="362" t="s">
        <v>723</v>
      </c>
      <c r="CE6" s="363">
        <f>DATE(CD4-1,12,25)</f>
        <v>44555</v>
      </c>
    </row>
    <row r="7" spans="1:83" ht="19.5" thickBot="1" x14ac:dyDescent="0.3">
      <c r="A7" s="13"/>
      <c r="B7" s="661" t="s">
        <v>822</v>
      </c>
      <c r="C7" s="664" t="s">
        <v>6</v>
      </c>
      <c r="D7" s="665">
        <f>COUNTIF(C12:AH41,C7)</f>
        <v>13</v>
      </c>
      <c r="E7" s="667" t="s">
        <v>799</v>
      </c>
      <c r="F7" s="665">
        <f>COUNTIF(C12:AH41,E7)</f>
        <v>0</v>
      </c>
      <c r="G7" s="671" t="s">
        <v>823</v>
      </c>
      <c r="H7" s="13"/>
      <c r="I7" s="1519"/>
      <c r="J7" s="1519"/>
      <c r="K7" s="1519"/>
      <c r="L7" s="1519"/>
      <c r="M7" s="1519"/>
      <c r="N7" s="1519"/>
      <c r="O7" s="1519"/>
      <c r="P7" s="1519"/>
      <c r="Q7" s="1519"/>
      <c r="R7" s="13"/>
      <c r="S7" s="13"/>
      <c r="T7" s="13"/>
      <c r="U7" s="675" t="s">
        <v>845</v>
      </c>
      <c r="V7" s="13"/>
      <c r="W7" s="13"/>
      <c r="X7" s="13"/>
      <c r="Y7" s="13"/>
      <c r="Z7" s="13"/>
      <c r="AA7" s="13"/>
      <c r="AB7" s="13"/>
      <c r="AC7" s="13"/>
      <c r="AD7" s="13"/>
      <c r="AE7" s="13"/>
      <c r="AF7" s="13"/>
      <c r="AG7" s="13"/>
      <c r="AH7" s="13"/>
      <c r="AI7" s="13"/>
      <c r="AJ7" s="13"/>
      <c r="AK7" s="44" t="s">
        <v>489</v>
      </c>
      <c r="AM7" s="13"/>
      <c r="AN7" s="13"/>
      <c r="AO7" s="13"/>
      <c r="AP7" s="13"/>
      <c r="AQ7" s="13"/>
      <c r="AR7" s="13"/>
      <c r="AS7" s="13"/>
      <c r="AT7" s="13"/>
      <c r="AU7" s="13"/>
      <c r="AV7" s="1504"/>
      <c r="AW7" s="54"/>
      <c r="AX7" s="72"/>
      <c r="AY7" s="1505" t="s">
        <v>61</v>
      </c>
      <c r="AZ7" s="1505"/>
      <c r="BA7" s="1505"/>
      <c r="BB7" s="1505"/>
      <c r="BC7" s="676" t="s">
        <v>830</v>
      </c>
      <c r="BD7" s="56"/>
      <c r="BE7" s="56"/>
      <c r="BF7" s="56"/>
      <c r="BG7" s="56"/>
      <c r="BI7" s="285"/>
      <c r="BJ7" s="286" t="str">
        <f ca="1">CELL("nomfichier")</f>
        <v>E:\UPRT a faire\so-plannings.copie\[calendrier.Pascal.Grandet.xlsx]Calendrier.Pascal.Grandet</v>
      </c>
      <c r="BK7" s="287"/>
      <c r="BL7" s="287"/>
      <c r="BM7" s="287"/>
      <c r="BN7" s="287"/>
      <c r="BO7" s="287"/>
      <c r="BP7" s="287"/>
      <c r="BQ7" s="287"/>
      <c r="BR7" s="287"/>
      <c r="BS7" s="287"/>
      <c r="BT7" s="287"/>
      <c r="BU7" s="287"/>
      <c r="BV7" s="287"/>
      <c r="BW7" s="287"/>
      <c r="BX7" s="288"/>
      <c r="BZ7" s="359">
        <f t="shared" si="0"/>
        <v>43934</v>
      </c>
      <c r="CA7" s="360">
        <f>CA6+1</f>
        <v>43934</v>
      </c>
      <c r="CB7" s="361" t="s">
        <v>725</v>
      </c>
      <c r="CC7" s="563"/>
      <c r="CD7" s="364" t="s">
        <v>721</v>
      </c>
      <c r="CE7" s="365">
        <f>DATE(CD4,1,1)</f>
        <v>44562</v>
      </c>
    </row>
    <row r="8" spans="1:83" ht="14.25" customHeight="1" x14ac:dyDescent="0.25">
      <c r="A8" s="13"/>
      <c r="B8" s="265">
        <f>DATE($C$2,MONTH(1&amp;"/"&amp;C9),1)</f>
        <v>43831</v>
      </c>
      <c r="C8" s="14">
        <f>B8</f>
        <v>43831</v>
      </c>
      <c r="D8" s="14">
        <f>IFERROR(IF(C8+1&gt;$B$9,"",C8+1),"")</f>
        <v>43832</v>
      </c>
      <c r="E8" s="14">
        <f t="shared" ref="E8:AG8" si="1">IFERROR(IF(D8+1&gt;$B$9,"",D8+1),"")</f>
        <v>43833</v>
      </c>
      <c r="F8" s="14">
        <f t="shared" si="1"/>
        <v>43834</v>
      </c>
      <c r="G8" s="14">
        <f t="shared" si="1"/>
        <v>43835</v>
      </c>
      <c r="H8" s="14">
        <f t="shared" si="1"/>
        <v>43836</v>
      </c>
      <c r="I8" s="14">
        <f t="shared" si="1"/>
        <v>43837</v>
      </c>
      <c r="J8" s="14">
        <f t="shared" si="1"/>
        <v>43838</v>
      </c>
      <c r="K8" s="14">
        <f t="shared" si="1"/>
        <v>43839</v>
      </c>
      <c r="L8" s="14">
        <f t="shared" si="1"/>
        <v>43840</v>
      </c>
      <c r="M8" s="14">
        <f t="shared" si="1"/>
        <v>43841</v>
      </c>
      <c r="N8" s="14">
        <f t="shared" si="1"/>
        <v>43842</v>
      </c>
      <c r="O8" s="14">
        <f t="shared" si="1"/>
        <v>43843</v>
      </c>
      <c r="P8" s="14">
        <f t="shared" si="1"/>
        <v>43844</v>
      </c>
      <c r="Q8" s="14">
        <f t="shared" si="1"/>
        <v>43845</v>
      </c>
      <c r="R8" s="14">
        <f t="shared" si="1"/>
        <v>43846</v>
      </c>
      <c r="S8" s="14">
        <f t="shared" si="1"/>
        <v>43847</v>
      </c>
      <c r="T8" s="14">
        <f t="shared" si="1"/>
        <v>43848</v>
      </c>
      <c r="U8" s="14">
        <f t="shared" si="1"/>
        <v>43849</v>
      </c>
      <c r="V8" s="14">
        <f t="shared" si="1"/>
        <v>43850</v>
      </c>
      <c r="W8" s="14">
        <f t="shared" si="1"/>
        <v>43851</v>
      </c>
      <c r="X8" s="14">
        <f t="shared" si="1"/>
        <v>43852</v>
      </c>
      <c r="Y8" s="14">
        <f t="shared" si="1"/>
        <v>43853</v>
      </c>
      <c r="Z8" s="14">
        <f t="shared" si="1"/>
        <v>43854</v>
      </c>
      <c r="AA8" s="14">
        <f t="shared" si="1"/>
        <v>43855</v>
      </c>
      <c r="AB8" s="14">
        <f t="shared" si="1"/>
        <v>43856</v>
      </c>
      <c r="AC8" s="14">
        <f t="shared" si="1"/>
        <v>43857</v>
      </c>
      <c r="AD8" s="14">
        <f t="shared" si="1"/>
        <v>43858</v>
      </c>
      <c r="AE8" s="14">
        <f t="shared" si="1"/>
        <v>43859</v>
      </c>
      <c r="AF8" s="14">
        <f t="shared" si="1"/>
        <v>43860</v>
      </c>
      <c r="AG8" s="14">
        <f t="shared" si="1"/>
        <v>43861</v>
      </c>
      <c r="AH8" s="258"/>
      <c r="AI8" s="710"/>
      <c r="AJ8" s="13"/>
      <c r="AK8" s="44" t="s">
        <v>113</v>
      </c>
      <c r="AM8" s="13"/>
      <c r="AN8" s="13"/>
      <c r="AO8" s="13"/>
      <c r="AP8" s="13"/>
      <c r="AQ8" s="13"/>
      <c r="AR8" s="13"/>
      <c r="AS8" s="13"/>
      <c r="AT8" s="13"/>
      <c r="AU8" s="13"/>
      <c r="AV8" s="487"/>
      <c r="AW8" s="54"/>
      <c r="AX8" s="72"/>
      <c r="AY8" s="56"/>
      <c r="AZ8" s="56"/>
      <c r="BA8" s="56"/>
      <c r="BB8" s="56"/>
      <c r="BC8" s="56"/>
      <c r="BD8" s="56"/>
      <c r="BE8" s="56"/>
      <c r="BF8" s="56"/>
      <c r="BG8" s="56"/>
      <c r="BI8" s="290"/>
      <c r="BJ8" s="592" t="s">
        <v>513</v>
      </c>
      <c r="BK8" s="291"/>
      <c r="BL8" s="292"/>
      <c r="BM8" s="293" t="s">
        <v>297</v>
      </c>
      <c r="BN8" s="294"/>
      <c r="BO8" s="292"/>
      <c r="BP8" s="295"/>
      <c r="BQ8" s="295"/>
      <c r="BR8" s="295"/>
      <c r="BS8" s="296" t="s">
        <v>517</v>
      </c>
      <c r="BT8" s="297"/>
      <c r="BU8" s="298" t="s">
        <v>57</v>
      </c>
      <c r="BV8" s="299"/>
      <c r="BW8" s="299"/>
      <c r="BX8" s="300"/>
      <c r="BZ8" s="359">
        <f t="shared" si="0"/>
        <v>43952</v>
      </c>
      <c r="CA8" s="360">
        <f>DATE(BZ4,5,1)</f>
        <v>43952</v>
      </c>
      <c r="CB8" s="361" t="s">
        <v>726</v>
      </c>
      <c r="CC8" s="563"/>
      <c r="CD8" s="362" t="s">
        <v>585</v>
      </c>
      <c r="CE8" s="363">
        <f>ROUND(DATE(CD4,4,MOD(234-11*MOD(CD4,19),30))/7,)*7-6</f>
        <v>44668</v>
      </c>
    </row>
    <row r="9" spans="1:83" ht="19.5" thickBot="1" x14ac:dyDescent="0.3">
      <c r="A9" s="13"/>
      <c r="B9" s="266">
        <f>EOMONTH(B8,0)</f>
        <v>43861</v>
      </c>
      <c r="C9" s="1479" t="s">
        <v>36</v>
      </c>
      <c r="D9" s="1480"/>
      <c r="E9" s="1480"/>
      <c r="F9" s="1480"/>
      <c r="G9" s="1480"/>
      <c r="H9" s="1480"/>
      <c r="I9" s="1480"/>
      <c r="J9" s="1480"/>
      <c r="K9" s="1480"/>
      <c r="L9" s="1480"/>
      <c r="M9" s="1480"/>
      <c r="N9" s="1480"/>
      <c r="O9" s="1480"/>
      <c r="P9" s="1480"/>
      <c r="Q9" s="1480"/>
      <c r="R9" s="1480"/>
      <c r="S9" s="1480"/>
      <c r="T9" s="1480"/>
      <c r="U9" s="1480"/>
      <c r="V9" s="1480"/>
      <c r="W9" s="1480"/>
      <c r="X9" s="1480"/>
      <c r="Y9" s="1480"/>
      <c r="Z9" s="1480"/>
      <c r="AA9" s="1480"/>
      <c r="AB9" s="1480"/>
      <c r="AC9" s="1480"/>
      <c r="AD9" s="1480"/>
      <c r="AE9" s="1480"/>
      <c r="AF9" s="1480"/>
      <c r="AG9" s="1481"/>
      <c r="AH9" s="257"/>
      <c r="AI9" s="260"/>
      <c r="AJ9" s="13"/>
      <c r="AK9" s="44" t="s">
        <v>114</v>
      </c>
      <c r="AM9" s="13"/>
      <c r="AN9" s="13"/>
      <c r="AO9" s="13"/>
      <c r="AP9" s="13"/>
      <c r="AQ9" s="13"/>
      <c r="AR9" s="13"/>
      <c r="AS9" s="13"/>
      <c r="AT9" s="13"/>
      <c r="AU9" s="13"/>
      <c r="AV9" s="94" t="s">
        <v>79</v>
      </c>
      <c r="AW9" s="50">
        <v>0.27083333333333331</v>
      </c>
      <c r="AX9" s="50">
        <v>0.4375</v>
      </c>
      <c r="AY9" s="51"/>
      <c r="AZ9" s="52">
        <f>IF(AX9-AW9=0,0,(AX9-AW9)-(AY9*TIMEVALUE("00:30")))</f>
        <v>0.16666666666666669</v>
      </c>
      <c r="BA9" s="53" t="s">
        <v>62</v>
      </c>
      <c r="BB9" s="54"/>
      <c r="BC9" s="55"/>
      <c r="BD9" s="56"/>
      <c r="BE9" s="56"/>
      <c r="BF9" s="56"/>
      <c r="BG9" s="56"/>
      <c r="BI9" s="290"/>
      <c r="BJ9" s="292"/>
      <c r="BK9" s="292"/>
      <c r="BL9" s="292"/>
      <c r="BM9" s="292"/>
      <c r="BN9" s="294"/>
      <c r="BO9" s="292"/>
      <c r="BP9" s="295"/>
      <c r="BQ9" s="295"/>
      <c r="BR9" s="295"/>
      <c r="BS9" s="301" t="s">
        <v>522</v>
      </c>
      <c r="BT9" s="297"/>
      <c r="BU9" s="302">
        <f ca="1">NOW()</f>
        <v>44232.80612465278</v>
      </c>
      <c r="BV9" s="303"/>
      <c r="BW9" s="304"/>
      <c r="BX9" s="304"/>
      <c r="BZ9" s="359">
        <f t="shared" si="0"/>
        <v>43959</v>
      </c>
      <c r="CA9" s="360">
        <f>DATE(BZ4,5,8)</f>
        <v>43959</v>
      </c>
      <c r="CB9" s="361" t="s">
        <v>728</v>
      </c>
      <c r="CC9" s="563"/>
      <c r="CD9" s="362" t="s">
        <v>725</v>
      </c>
      <c r="CE9" s="363">
        <f>CE8+1</f>
        <v>44669</v>
      </c>
    </row>
    <row r="10" spans="1:83" ht="18.75" customHeight="1" x14ac:dyDescent="0.25">
      <c r="A10" s="13"/>
      <c r="B10" s="267"/>
      <c r="C10" s="6">
        <f t="shared" ref="C10:AG10" si="2">IFERROR(DAY(C8),"")</f>
        <v>1</v>
      </c>
      <c r="D10" s="3">
        <f t="shared" si="2"/>
        <v>2</v>
      </c>
      <c r="E10" s="3">
        <f t="shared" si="2"/>
        <v>3</v>
      </c>
      <c r="F10" s="3">
        <f t="shared" si="2"/>
        <v>4</v>
      </c>
      <c r="G10" s="3">
        <f t="shared" si="2"/>
        <v>5</v>
      </c>
      <c r="H10" s="3">
        <f t="shared" si="2"/>
        <v>6</v>
      </c>
      <c r="I10" s="3">
        <f t="shared" si="2"/>
        <v>7</v>
      </c>
      <c r="J10" s="3">
        <f t="shared" si="2"/>
        <v>8</v>
      </c>
      <c r="K10" s="3">
        <f t="shared" si="2"/>
        <v>9</v>
      </c>
      <c r="L10" s="3">
        <f t="shared" si="2"/>
        <v>10</v>
      </c>
      <c r="M10" s="3">
        <f t="shared" si="2"/>
        <v>11</v>
      </c>
      <c r="N10" s="3">
        <f t="shared" si="2"/>
        <v>12</v>
      </c>
      <c r="O10" s="3">
        <f t="shared" si="2"/>
        <v>13</v>
      </c>
      <c r="P10" s="3">
        <f t="shared" si="2"/>
        <v>14</v>
      </c>
      <c r="Q10" s="3">
        <f t="shared" si="2"/>
        <v>15</v>
      </c>
      <c r="R10" s="3">
        <f t="shared" si="2"/>
        <v>16</v>
      </c>
      <c r="S10" s="3">
        <f t="shared" si="2"/>
        <v>17</v>
      </c>
      <c r="T10" s="3">
        <f t="shared" si="2"/>
        <v>18</v>
      </c>
      <c r="U10" s="3">
        <f t="shared" si="2"/>
        <v>19</v>
      </c>
      <c r="V10" s="3">
        <f t="shared" si="2"/>
        <v>20</v>
      </c>
      <c r="W10" s="3">
        <f t="shared" si="2"/>
        <v>21</v>
      </c>
      <c r="X10" s="3">
        <f t="shared" si="2"/>
        <v>22</v>
      </c>
      <c r="Y10" s="3">
        <f t="shared" si="2"/>
        <v>23</v>
      </c>
      <c r="Z10" s="3">
        <f t="shared" si="2"/>
        <v>24</v>
      </c>
      <c r="AA10" s="3">
        <f t="shared" si="2"/>
        <v>25</v>
      </c>
      <c r="AB10" s="3">
        <f t="shared" si="2"/>
        <v>26</v>
      </c>
      <c r="AC10" s="3">
        <f t="shared" si="2"/>
        <v>27</v>
      </c>
      <c r="AD10" s="3">
        <f t="shared" si="2"/>
        <v>28</v>
      </c>
      <c r="AE10" s="3">
        <f t="shared" si="2"/>
        <v>29</v>
      </c>
      <c r="AF10" s="3">
        <f t="shared" si="2"/>
        <v>30</v>
      </c>
      <c r="AG10" s="7">
        <f t="shared" si="2"/>
        <v>31</v>
      </c>
      <c r="AH10" s="257"/>
      <c r="AI10" s="711" t="s">
        <v>362</v>
      </c>
      <c r="AJ10" s="13"/>
      <c r="AK10" s="13"/>
      <c r="AL10" s="45" t="s">
        <v>861</v>
      </c>
      <c r="AM10" s="13"/>
      <c r="AN10" s="13"/>
      <c r="AP10" s="13"/>
      <c r="AQ10" s="13"/>
      <c r="AR10" s="13"/>
      <c r="AS10" s="13"/>
      <c r="AT10" s="13"/>
      <c r="AU10" s="13"/>
      <c r="AV10" s="70"/>
      <c r="AW10" s="57"/>
      <c r="AX10" s="57"/>
      <c r="AY10" s="57"/>
      <c r="AZ10" s="54"/>
      <c r="BA10" s="54"/>
      <c r="BB10" s="54"/>
      <c r="BC10" s="55"/>
      <c r="BD10" s="56"/>
      <c r="BE10" s="56"/>
      <c r="BF10" s="56"/>
      <c r="BG10" s="56"/>
      <c r="BI10" s="290"/>
      <c r="BJ10" s="305">
        <f>BJ9+1</f>
        <v>1</v>
      </c>
      <c r="BK10" s="306" t="s">
        <v>514</v>
      </c>
      <c r="BL10" s="292"/>
      <c r="BM10" s="292"/>
      <c r="BN10" s="294"/>
      <c r="BO10" s="292"/>
      <c r="BP10" s="295"/>
      <c r="BQ10" s="295"/>
      <c r="BR10" s="295"/>
      <c r="BS10" s="307" t="s">
        <v>527</v>
      </c>
      <c r="BT10" s="292"/>
      <c r="BU10" s="295"/>
      <c r="BV10" s="292"/>
      <c r="BW10" s="292"/>
      <c r="BX10" s="308"/>
      <c r="BZ10" s="359">
        <f t="shared" si="0"/>
        <v>43972</v>
      </c>
      <c r="CA10" s="360">
        <f>CA6+39</f>
        <v>43972</v>
      </c>
      <c r="CB10" s="361" t="s">
        <v>729</v>
      </c>
      <c r="CC10" s="563"/>
      <c r="CD10" s="362" t="s">
        <v>726</v>
      </c>
      <c r="CE10" s="363">
        <f>DATE(CD4,5,1)</f>
        <v>44682</v>
      </c>
    </row>
    <row r="11" spans="1:83" ht="19.5" thickBot="1" x14ac:dyDescent="0.3">
      <c r="A11" s="13"/>
      <c r="B11" s="268"/>
      <c r="C11" s="5">
        <f t="shared" ref="C11:AC11" si="3">IF(C8="","",WEEKDAY(C8,1))</f>
        <v>4</v>
      </c>
      <c r="D11" s="8">
        <f t="shared" si="3"/>
        <v>5</v>
      </c>
      <c r="E11" s="8">
        <f t="shared" si="3"/>
        <v>6</v>
      </c>
      <c r="F11" s="8">
        <f t="shared" si="3"/>
        <v>7</v>
      </c>
      <c r="G11" s="8">
        <f t="shared" si="3"/>
        <v>1</v>
      </c>
      <c r="H11" s="8">
        <f t="shared" si="3"/>
        <v>2</v>
      </c>
      <c r="I11" s="8">
        <f t="shared" si="3"/>
        <v>3</v>
      </c>
      <c r="J11" s="8">
        <f t="shared" si="3"/>
        <v>4</v>
      </c>
      <c r="K11" s="8">
        <f t="shared" si="3"/>
        <v>5</v>
      </c>
      <c r="L11" s="8">
        <f t="shared" si="3"/>
        <v>6</v>
      </c>
      <c r="M11" s="8">
        <f t="shared" si="3"/>
        <v>7</v>
      </c>
      <c r="N11" s="8">
        <f t="shared" si="3"/>
        <v>1</v>
      </c>
      <c r="O11" s="8">
        <f t="shared" si="3"/>
        <v>2</v>
      </c>
      <c r="P11" s="8">
        <f t="shared" si="3"/>
        <v>3</v>
      </c>
      <c r="Q11" s="8">
        <f t="shared" si="3"/>
        <v>4</v>
      </c>
      <c r="R11" s="8">
        <f t="shared" si="3"/>
        <v>5</v>
      </c>
      <c r="S11" s="8">
        <f t="shared" si="3"/>
        <v>6</v>
      </c>
      <c r="T11" s="8">
        <f t="shared" si="3"/>
        <v>7</v>
      </c>
      <c r="U11" s="8">
        <f t="shared" si="3"/>
        <v>1</v>
      </c>
      <c r="V11" s="8">
        <f t="shared" si="3"/>
        <v>2</v>
      </c>
      <c r="W11" s="8">
        <f t="shared" si="3"/>
        <v>3</v>
      </c>
      <c r="X11" s="8">
        <f t="shared" si="3"/>
        <v>4</v>
      </c>
      <c r="Y11" s="8">
        <f t="shared" si="3"/>
        <v>5</v>
      </c>
      <c r="Z11" s="8">
        <f t="shared" si="3"/>
        <v>6</v>
      </c>
      <c r="AA11" s="8">
        <f t="shared" si="3"/>
        <v>7</v>
      </c>
      <c r="AB11" s="8">
        <f t="shared" si="3"/>
        <v>1</v>
      </c>
      <c r="AC11" s="8">
        <f t="shared" si="3"/>
        <v>2</v>
      </c>
      <c r="AD11" s="8">
        <f>IF(AD8="","",WEEKDAY(AD8,1))</f>
        <v>3</v>
      </c>
      <c r="AE11" s="8">
        <f>IF(AE8="","",WEEKDAY(AE8,1))</f>
        <v>4</v>
      </c>
      <c r="AF11" s="8">
        <f t="shared" ref="AF11:AG11" si="4">IF(AF8="","",WEEKDAY(AF8,1))</f>
        <v>5</v>
      </c>
      <c r="AG11" s="9">
        <f t="shared" si="4"/>
        <v>6</v>
      </c>
      <c r="AH11" s="636" t="s">
        <v>8</v>
      </c>
      <c r="AI11" s="713" t="s">
        <v>800</v>
      </c>
      <c r="AJ11" s="13"/>
      <c r="AK11" s="13"/>
      <c r="AL11" s="45" t="s">
        <v>502</v>
      </c>
      <c r="AM11" s="13"/>
      <c r="AN11" s="13"/>
      <c r="AP11" s="13"/>
      <c r="AQ11" s="13"/>
      <c r="AR11" s="13"/>
      <c r="AS11" s="13"/>
      <c r="AT11" s="13"/>
      <c r="AU11" s="13"/>
      <c r="AV11" s="94" t="s">
        <v>80</v>
      </c>
      <c r="AW11" s="50">
        <v>0.33333333333333331</v>
      </c>
      <c r="AX11" s="50">
        <v>0.5</v>
      </c>
      <c r="AY11" s="51"/>
      <c r="AZ11" s="52">
        <f>IF(AX11-AW11=0,0,(AX11-AW11)-(AY11*TIMEVALUE("00:30")))</f>
        <v>0.16666666666666669</v>
      </c>
      <c r="BA11" s="53" t="s">
        <v>63</v>
      </c>
      <c r="BB11" s="54"/>
      <c r="BC11" s="55"/>
      <c r="BD11" s="56"/>
      <c r="BE11" s="56"/>
      <c r="BF11" s="56"/>
      <c r="BG11" s="56"/>
      <c r="BI11" s="290"/>
      <c r="BJ11" s="292"/>
      <c r="BK11" s="292"/>
      <c r="BL11" s="292"/>
      <c r="BM11" s="292"/>
      <c r="BN11" s="294"/>
      <c r="BO11" s="292"/>
      <c r="BP11" s="295"/>
      <c r="BQ11" s="295"/>
      <c r="BR11" s="295"/>
      <c r="BS11" s="309" t="s">
        <v>366</v>
      </c>
      <c r="BT11" s="292"/>
      <c r="BU11" s="295"/>
      <c r="BV11" s="292"/>
      <c r="BW11" s="292"/>
      <c r="BX11" s="310"/>
      <c r="BZ11" s="359">
        <f t="shared" si="0"/>
        <v>43982</v>
      </c>
      <c r="CA11" s="360">
        <f>CA6+49</f>
        <v>43982</v>
      </c>
      <c r="CB11" s="361" t="s">
        <v>731</v>
      </c>
      <c r="CC11" s="563"/>
      <c r="CD11" s="362" t="s">
        <v>728</v>
      </c>
      <c r="CE11" s="363">
        <f>DATE(CD4,5,8)</f>
        <v>44689</v>
      </c>
    </row>
    <row r="12" spans="1:83" ht="19.5" thickBot="1" x14ac:dyDescent="0.3">
      <c r="A12" s="13"/>
      <c r="B12" s="696" t="s">
        <v>500</v>
      </c>
      <c r="C12" s="246" t="str">
        <f t="array" ref="C12">IF(OR(C$11=1,C$11=7),"",IFERROR(INDEX($AM$20:$AP$119,MATCH(1,(C$8&gt;=$AO$20:$AO$119)*($AP$20:$AP$119&gt;=C$8)*($AM$20:$AM$119=$B$12),0),2),""))</f>
        <v/>
      </c>
      <c r="D12" s="246" t="str">
        <f t="array" ref="D12">IF(OR(D$11=1,D$11=7),"",IFERROR(INDEX($AM$20:$AP$119,MATCH(1,(D$8&gt;=$AO$20:$AO$119)*($AP$20:$AP$119&gt;=D$8)*($AM$20:$AM$119=$B$12),0),2),""))</f>
        <v/>
      </c>
      <c r="E12" s="246" t="str">
        <f t="array" ref="E12">IF(OR(E$11=1,E$11=7),"",IFERROR(INDEX($AM$20:$AP$119,MATCH(1,(E$8&gt;=$AO$20:$AO$119)*($AP$20:$AP$119&gt;=E$8)*($AM$20:$AM$119=$B$12),0),2),""))</f>
        <v/>
      </c>
      <c r="F12" s="246" t="str">
        <f t="array" ref="F12">IF(OR(F$11=1,F$11=7),"",IFERROR(INDEX($AM$20:$AP$119,MATCH(1,(F$8&gt;=$AO$20:$AO$119)*($AP$20:$AP$119&gt;=F$8)*($AM$20:$AM$119=$B$12),0),2),""))</f>
        <v/>
      </c>
      <c r="G12" s="246" t="str">
        <f t="array" ref="G12">IF(OR(G$11=1,G$11=7),"",IFERROR(INDEX($AM$20:$AP$119,MATCH(1,(G$8&gt;=$AO$20:$AO$119)*($AP$20:$AP$119&gt;=G$8)*($AM$20:$AM$119=$B$12),0),2),""))</f>
        <v/>
      </c>
      <c r="H12" s="246" t="str">
        <f t="array" ref="H12">IF(OR(H$11=1,H$11=7),"",IFERROR(INDEX($AM$20:$AP$119,MATCH(1,(H$8&gt;=$AO$20:$AO$119)*($AP$20:$AP$119&gt;=H$8)*($AM$20:$AM$119=$B$12),0),2),""))</f>
        <v/>
      </c>
      <c r="I12" s="246" t="str">
        <f t="array" ref="I12">IF(OR(I$11=1,I$11=7),"",IFERROR(INDEX($AM$20:$AP$119,MATCH(1,(I$8&gt;=$AO$20:$AO$119)*($AP$20:$AP$119&gt;=I$8)*($AM$20:$AM$119=$B$12),0),2),""))</f>
        <v/>
      </c>
      <c r="J12" s="246" t="str">
        <f t="array" ref="J12">IF(OR(J$11=1,J$11=7),"",IFERROR(INDEX($AM$20:$AP$119,MATCH(1,(J$8&gt;=$AO$20:$AO$119)*($AP$20:$AP$119&gt;=J$8)*($AM$20:$AM$119=$B$12),0),2),""))</f>
        <v/>
      </c>
      <c r="K12" s="246" t="str">
        <f t="array" ref="K12">IF(OR(K$11=1,K$11=7),"",IFERROR(INDEX($AM$20:$AP$119,MATCH(1,(K$8&gt;=$AO$20:$AO$119)*($AP$20:$AP$119&gt;=K$8)*($AM$20:$AM$119=$B$12),0),2),""))</f>
        <v/>
      </c>
      <c r="L12" s="246" t="str">
        <f t="array" ref="L12">IF(OR(L$11=1,L$11=7),"",IFERROR(INDEX($AM$20:$AP$119,MATCH(1,(L$8&gt;=$AO$20:$AO$119)*($AP$20:$AP$119&gt;=L$8)*($AM$20:$AM$119=$B$12),0),2),""))</f>
        <v/>
      </c>
      <c r="M12" s="246" t="str">
        <f t="array" ref="M12">IF(OR(M$11=1,M$11=7),"",IFERROR(INDEX($AM$20:$AP$119,MATCH(1,(M$8&gt;=$AO$20:$AO$119)*($AP$20:$AP$119&gt;=M$8)*($AM$20:$AM$119=$B$12),0),2),""))</f>
        <v/>
      </c>
      <c r="N12" s="246" t="str">
        <f t="array" ref="N12">IF(OR(N$11=1,N$11=7),"",IFERROR(INDEX($AM$20:$AP$119,MATCH(1,(N$8&gt;=$AO$20:$AO$119)*($AP$20:$AP$119&gt;=N$8)*($AM$20:$AM$119=$B$12),0),2),""))</f>
        <v/>
      </c>
      <c r="O12" s="246" t="str">
        <f t="array" ref="O12">IF(OR(O$11=1,O$11=7),"",IFERROR(INDEX($AM$20:$AP$119,MATCH(1,(O$8&gt;=$AO$20:$AO$119)*($AP$20:$AP$119&gt;=O$8)*($AM$20:$AM$119=$B$12),0),2),""))</f>
        <v/>
      </c>
      <c r="P12" s="246" t="str">
        <f t="array" ref="P12">IF(OR(P$11=1,P$11=7),"",IFERROR(INDEX($AM$20:$AP$119,MATCH(1,(P$8&gt;=$AO$20:$AO$119)*($AP$20:$AP$119&gt;=P$8)*($AM$20:$AM$119=$B$12),0),2),""))</f>
        <v/>
      </c>
      <c r="Q12" s="246" t="str">
        <f t="array" ref="Q12">IF(OR(Q$11=1,Q$11=7),"",IFERROR(INDEX($AM$20:$AP$119,MATCH(1,(Q$8&gt;=$AO$20:$AO$119)*($AP$20:$AP$119&gt;=Q$8)*($AM$20:$AM$119=$B$12),0),2),""))</f>
        <v/>
      </c>
      <c r="R12" s="246" t="str">
        <f t="array" ref="R12">IF(OR(R$11=1,R$11=7),"",IFERROR(INDEX($AM$20:$AP$119,MATCH(1,(R$8&gt;=$AO$20:$AO$119)*($AP$20:$AP$119&gt;=R$8)*($AM$20:$AM$119=$B$12),0),2),""))</f>
        <v/>
      </c>
      <c r="S12" s="246" t="str">
        <f t="array" ref="S12">IF(OR(S$11=1,S$11=7),"",IFERROR(INDEX($AM$20:$AP$119,MATCH(1,(S$8&gt;=$AO$20:$AO$119)*($AP$20:$AP$119&gt;=S$8)*($AM$20:$AM$119=$B$12),0),2),""))</f>
        <v/>
      </c>
      <c r="T12" s="246" t="str">
        <f t="array" ref="T12">IF(OR(T$11=1,T$11=7),"",IFERROR(INDEX($AM$20:$AP$119,MATCH(1,(T$8&gt;=$AO$20:$AO$119)*($AP$20:$AP$119&gt;=T$8)*($AM$20:$AM$119=$B$12),0),2),""))</f>
        <v/>
      </c>
      <c r="U12" s="246" t="str">
        <f t="array" ref="U12">IF(OR(U$11=1,U$11=7),"",IFERROR(INDEX($AM$20:$AP$119,MATCH(1,(U$8&gt;=$AO$20:$AO$119)*($AP$20:$AP$119&gt;=U$8)*($AM$20:$AM$119=$B$12),0),2),""))</f>
        <v/>
      </c>
      <c r="V12" s="246" t="str">
        <f t="array" ref="V12">IF(OR(V$11=1,V$11=7),"",IFERROR(INDEX($AM$20:$AP$119,MATCH(1,(V$8&gt;=$AO$20:$AO$119)*($AP$20:$AP$119&gt;=V$8)*($AM$20:$AM$119=$B$12),0),2),""))</f>
        <v/>
      </c>
      <c r="W12" s="246" t="str">
        <f t="array" ref="W12">IF(OR(W$11=1,W$11=7),"",IFERROR(INDEX($AM$20:$AP$119,MATCH(1,(W$8&gt;=$AO$20:$AO$119)*($AP$20:$AP$119&gt;=W$8)*($AM$20:$AM$119=$B$12),0),2),""))</f>
        <v/>
      </c>
      <c r="X12" s="246" t="str">
        <f t="array" ref="X12">IF(OR(X$11=1,X$11=7),"",IFERROR(INDEX($AM$20:$AP$119,MATCH(1,(X$8&gt;=$AO$20:$AO$119)*($AP$20:$AP$119&gt;=X$8)*($AM$20:$AM$119=$B$12),0),2),""))</f>
        <v/>
      </c>
      <c r="Y12" s="246" t="str">
        <f t="array" ref="Y12">IF(OR(Y$11=1,Y$11=7),"",IFERROR(INDEX($AM$20:$AP$119,MATCH(1,(Y$8&gt;=$AO$20:$AO$119)*($AP$20:$AP$119&gt;=Y$8)*($AM$20:$AM$119=$B$12),0),2),""))</f>
        <v/>
      </c>
      <c r="Z12" s="246" t="str">
        <f t="array" ref="Z12">IF(OR(Z$11=1,Z$11=7),"",IFERROR(INDEX($AM$20:$AP$119,MATCH(1,(Z$8&gt;=$AO$20:$AO$119)*($AP$20:$AP$119&gt;=Z$8)*($AM$20:$AM$119=$B$12),0),2),""))</f>
        <v/>
      </c>
      <c r="AA12" s="246" t="str">
        <f t="array" ref="AA12">IF(OR(AA$11=1,AA$11=7),"",IFERROR(INDEX($AM$20:$AP$119,MATCH(1,(AA$8&gt;=$AO$20:$AO$119)*($AP$20:$AP$119&gt;=AA$8)*($AM$20:$AM$119=$B$12),0),2),""))</f>
        <v/>
      </c>
      <c r="AB12" s="246" t="str">
        <f t="array" ref="AB12">IF(OR(AB$11=1,AB$11=7),"",IFERROR(INDEX($AM$20:$AP$119,MATCH(1,(AB$8&gt;=$AO$20:$AO$119)*($AP$20:$AP$119&gt;=AB$8)*($AM$20:$AM$119=$B$12),0),2),""))</f>
        <v/>
      </c>
      <c r="AC12" s="246" t="str">
        <f t="array" ref="AC12">IF(OR(AC$11=1,AC$11=7),"",IFERROR(INDEX($AM$20:$AP$119,MATCH(1,(AC$8&gt;=$AO$20:$AO$119)*($AP$20:$AP$119&gt;=AC$8)*($AM$20:$AM$119=$B$12),0),2),""))</f>
        <v/>
      </c>
      <c r="AD12" s="246" t="str">
        <f t="array" ref="AD12">IF(OR(AD$11=1,AD$11=7),"",IFERROR(INDEX($AM$20:$AP$119,MATCH(1,(AD$8&gt;=$AO$20:$AO$119)*($AP$20:$AP$119&gt;=AD$8)*($AM$20:$AM$119=$B$12),0),2),""))</f>
        <v/>
      </c>
      <c r="AE12" s="246" t="str">
        <f t="array" ref="AE12">IF(OR(AE$11=1,AE$11=7),"",IFERROR(INDEX($AM$20:$AP$119,MATCH(1,(AE$8&gt;=$AO$20:$AO$119)*($AP$20:$AP$119&gt;=AE$8)*($AM$20:$AM$119=$B$12),0),2),""))</f>
        <v/>
      </c>
      <c r="AF12" s="246" t="str">
        <f t="array" ref="AF12">IF(OR(AF$11=1,AF$11=7),"",IFERROR(INDEX($AM$20:$AP$119,MATCH(1,(AF$8&gt;=$AO$20:$AO$119)*($AP$20:$AP$119&gt;=AF$8)*($AM$20:$AM$119=$B$12),0),2),""))</f>
        <v/>
      </c>
      <c r="AG12" s="246" t="str">
        <f t="array" ref="AG12">IF(OR(AG$11=1,AG$11=7),"",IFERROR(INDEX($AM$20:$AP$119,MATCH(1,(AG$8&gt;=$AO$20:$AO$119)*($AP$20:$AP$119&gt;=AG$8)*($AM$20:$AM$119=$B$12),0),2),""))</f>
        <v/>
      </c>
      <c r="AH12" s="256" t="str">
        <f>B12</f>
        <v>amandine</v>
      </c>
      <c r="AI12" s="709">
        <f>COUNTIF(C12:AG12,$AI$10)</f>
        <v>0</v>
      </c>
      <c r="AJ12" s="13"/>
      <c r="AK12" s="13"/>
      <c r="AL12" s="685" t="s">
        <v>37</v>
      </c>
      <c r="AM12" s="13"/>
      <c r="AN12" s="94" t="s">
        <v>79</v>
      </c>
      <c r="AP12" s="13"/>
      <c r="AQ12" s="13"/>
      <c r="AR12" s="13"/>
      <c r="AS12" s="13"/>
      <c r="AT12" s="13"/>
      <c r="AU12" s="13"/>
      <c r="AV12" s="70"/>
      <c r="AW12" s="57"/>
      <c r="AX12" s="57"/>
      <c r="AY12" s="57"/>
      <c r="AZ12" s="54"/>
      <c r="BA12" s="54"/>
      <c r="BB12" s="54"/>
      <c r="BC12" s="55"/>
      <c r="BD12" s="56"/>
      <c r="BE12" s="56"/>
      <c r="BF12" s="56"/>
      <c r="BG12" s="56"/>
      <c r="BI12" s="290"/>
      <c r="BJ12" s="295"/>
      <c r="BK12" s="292"/>
      <c r="BL12" s="292"/>
      <c r="BM12" s="292"/>
      <c r="BN12" s="292"/>
      <c r="BO12" s="292"/>
      <c r="BP12" s="295"/>
      <c r="BQ12" s="295"/>
      <c r="BR12" s="295"/>
      <c r="BS12" s="292"/>
      <c r="BT12" s="292"/>
      <c r="BU12" s="295"/>
      <c r="BV12" s="292"/>
      <c r="BW12" s="292"/>
      <c r="BX12" s="310"/>
      <c r="BZ12" s="359">
        <f t="shared" si="0"/>
        <v>43983</v>
      </c>
      <c r="CA12" s="360">
        <f>CA11+1</f>
        <v>43983</v>
      </c>
      <c r="CB12" s="361" t="s">
        <v>732</v>
      </c>
      <c r="CC12" s="563"/>
      <c r="CD12" s="362" t="s">
        <v>729</v>
      </c>
      <c r="CE12" s="363">
        <f>CE8+39</f>
        <v>44707</v>
      </c>
    </row>
    <row r="13" spans="1:83" ht="19.5" thickBot="1" x14ac:dyDescent="0.3">
      <c r="A13" s="13"/>
      <c r="B13" s="701">
        <f>COUNTA(C13:AG13)</f>
        <v>7</v>
      </c>
      <c r="C13" s="253"/>
      <c r="D13" s="253"/>
      <c r="E13" s="248" t="s">
        <v>37</v>
      </c>
      <c r="F13" s="253"/>
      <c r="G13" s="253"/>
      <c r="H13" s="248" t="s">
        <v>37</v>
      </c>
      <c r="I13" s="264" t="s">
        <v>79</v>
      </c>
      <c r="J13" s="264" t="s">
        <v>80</v>
      </c>
      <c r="K13" s="264" t="s">
        <v>81</v>
      </c>
      <c r="L13" s="253"/>
      <c r="M13" s="253"/>
      <c r="N13" s="253"/>
      <c r="O13" s="253"/>
      <c r="P13" s="253"/>
      <c r="Q13" s="253"/>
      <c r="R13" s="253"/>
      <c r="S13" s="248" t="s">
        <v>37</v>
      </c>
      <c r="T13" s="253"/>
      <c r="U13" s="253"/>
      <c r="V13" s="248" t="s">
        <v>37</v>
      </c>
      <c r="W13" s="253"/>
      <c r="X13" s="253"/>
      <c r="Y13" s="253"/>
      <c r="Z13" s="253"/>
      <c r="AA13" s="253"/>
      <c r="AB13" s="253"/>
      <c r="AC13" s="253"/>
      <c r="AD13" s="253"/>
      <c r="AE13" s="253"/>
      <c r="AF13" s="253"/>
      <c r="AG13" s="254"/>
      <c r="AH13" s="706">
        <f>COUNTIF(C12:AG12,$AH$11)</f>
        <v>0</v>
      </c>
      <c r="AI13" s="714">
        <f>COUNTIF(C12:AG12,$AI$11)</f>
        <v>0</v>
      </c>
      <c r="AJ13" s="13"/>
      <c r="AK13" s="13"/>
      <c r="AL13" s="13"/>
      <c r="AM13" s="13"/>
      <c r="AO13" s="13"/>
      <c r="AP13" s="13"/>
      <c r="AQ13" s="13"/>
      <c r="AR13" s="13"/>
      <c r="AS13" s="13"/>
      <c r="AT13" s="13"/>
      <c r="AU13" s="13"/>
      <c r="AV13" s="94" t="s">
        <v>81</v>
      </c>
      <c r="AW13" s="50">
        <v>0.33333333333333331</v>
      </c>
      <c r="AX13" s="50">
        <v>0.5</v>
      </c>
      <c r="AY13" s="51"/>
      <c r="AZ13" s="52">
        <f>IF(AX13-AW13=0,0,(AX13-AW13)-(AY13*TIMEVALUE("00:30")))</f>
        <v>0.16666666666666669</v>
      </c>
      <c r="BA13" s="53" t="s">
        <v>64</v>
      </c>
      <c r="BB13" s="54"/>
      <c r="BC13" s="55"/>
      <c r="BD13" s="56"/>
      <c r="BE13" s="56"/>
      <c r="BF13" s="56"/>
      <c r="BG13" s="56"/>
      <c r="BI13" s="290"/>
      <c r="BJ13" s="295"/>
      <c r="BK13" s="311"/>
      <c r="BL13" s="312"/>
      <c r="BM13" s="295"/>
      <c r="BN13" s="295"/>
      <c r="BO13" s="295"/>
      <c r="BP13" s="295"/>
      <c r="BQ13" s="295"/>
      <c r="BR13" s="295"/>
      <c r="BS13" s="295"/>
      <c r="BT13" s="295"/>
      <c r="BU13" s="295"/>
      <c r="BV13" s="295"/>
      <c r="BW13" s="295"/>
      <c r="BX13" s="313"/>
      <c r="BZ13" s="359">
        <f t="shared" si="0"/>
        <v>44026</v>
      </c>
      <c r="CA13" s="360">
        <f>DATE(BZ4,7,14)</f>
        <v>44026</v>
      </c>
      <c r="CB13" s="361" t="s">
        <v>733</v>
      </c>
      <c r="CC13" s="563"/>
      <c r="CD13" s="362" t="s">
        <v>731</v>
      </c>
      <c r="CE13" s="363">
        <f>CE8+49</f>
        <v>44717</v>
      </c>
    </row>
    <row r="14" spans="1:83" ht="14.25" customHeight="1" thickBot="1" x14ac:dyDescent="0.3">
      <c r="A14" s="13"/>
      <c r="B14" s="700" t="s">
        <v>4</v>
      </c>
      <c r="C14" s="249" t="str">
        <f t="array" ref="C14">IF(OR(C$11=1,C$11=7),"",IFERROR(INDEX($AM$20:$AP$119,MATCH(1,(C$8&gt;=$AO$20:$AO$119)*($AP$20:$AP$119&gt;=C$8)*($AM$20:$AM$119=$B$14),0),2),""))</f>
        <v>Aap</v>
      </c>
      <c r="D14" s="249" t="str">
        <f t="array" ref="D14">IF(OR(D$11=1,D$11=7),"",IFERROR(INDEX($AM$20:$AP$119,MATCH(1,(D$8&gt;=$AO$20:$AO$119)*($AP$20:$AP$119&gt;=D$8)*($AM$20:$AM$119=$B$14),0),2),""))</f>
        <v>Aap</v>
      </c>
      <c r="E14" s="249" t="str">
        <f t="array" ref="E14">IF(OR(E$11=1,E$11=7),"",IFERROR(INDEX($AM$20:$AP$119,MATCH(1,(E$8&gt;=$AO$20:$AO$119)*($AP$20:$AP$119&gt;=E$8)*($AM$20:$AM$119=$B$14),0),2),""))</f>
        <v>Aap</v>
      </c>
      <c r="F14" s="249" t="str">
        <f t="array" ref="F14">IF(OR(F$11=1,F$11=7),"",IFERROR(INDEX($AM$20:$AP$119,MATCH(1,(F$8&gt;=$AO$20:$AO$119)*($AP$20:$AP$119&gt;=F$8)*($AM$20:$AM$119=$B$14),0),2),""))</f>
        <v/>
      </c>
      <c r="G14" s="249" t="str">
        <f t="array" ref="G14">IF(OR(G$11=1,G$11=7),"",IFERROR(INDEX($AM$20:$AP$119,MATCH(1,(G$8&gt;=$AO$20:$AO$119)*($AP$20:$AP$119&gt;=G$8)*($AM$20:$AM$119=$B$14),0),2),""))</f>
        <v/>
      </c>
      <c r="H14" s="249" t="str">
        <f t="array" ref="H14">IF(OR(H$11=1,H$11=7),"",IFERROR(INDEX($AM$20:$AP$119,MATCH(1,(H$8&gt;=$AO$20:$AO$119)*($AP$20:$AP$119&gt;=H$8)*($AM$20:$AM$119=$B$14),0),2),""))</f>
        <v/>
      </c>
      <c r="I14" s="38" t="str">
        <f t="array" ref="I14">IF(OR(I$11=1,I$11=7),"",IFERROR(INDEX($AM$20:$AP$119,MATCH(1,(I$8&gt;=$AO$20:$AO$119)*($AP$20:$AP$119&gt;=I$8)*($AM$20:$AM$119=$B$14),0),2),""))</f>
        <v/>
      </c>
      <c r="J14" s="38" t="str">
        <f t="array" ref="J14">IF(OR(J$11=1,J$11=7),"",IFERROR(INDEX($AM$20:$AP$119,MATCH(1,(J$8&gt;=$AO$20:$AO$119)*($AP$20:$AP$119&gt;=J$8)*($AM$20:$AM$119=$B$14),0),2),""))</f>
        <v/>
      </c>
      <c r="K14" s="38" t="str">
        <f t="array" ref="K14">IF(OR(K$11=1,K$11=7),"",IFERROR(INDEX($AM$20:$AP$119,MATCH(1,(K$8&gt;=$AO$20:$AO$119)*($AP$20:$AP$119&gt;=K$8)*($AM$20:$AM$119=$B$14),0),2),""))</f>
        <v/>
      </c>
      <c r="L14" s="249" t="str">
        <f t="array" ref="L14">IF(OR(L$11=1,L$11=7),"",IFERROR(INDEX($AM$20:$AP$119,MATCH(1,(L$8&gt;=$AO$20:$AO$119)*($AP$20:$AP$119&gt;=L$8)*($AM$20:$AM$119=$B$14),0),2),""))</f>
        <v/>
      </c>
      <c r="M14" s="249" t="str">
        <f t="array" ref="M14">IF(OR(M$11=1,M$11=7),"",IFERROR(INDEX($AM$20:$AP$119,MATCH(1,(M$8&gt;=$AO$20:$AO$119)*($AP$20:$AP$119&gt;=M$8)*($AM$20:$AM$119=$B$14),0),2),""))</f>
        <v/>
      </c>
      <c r="N14" s="249" t="str">
        <f t="array" ref="N14">IF(OR(N$11=1,N$11=7),"",IFERROR(INDEX($AM$20:$AP$119,MATCH(1,(N$8&gt;=$AO$20:$AO$119)*($AP$20:$AP$119&gt;=N$8)*($AM$20:$AM$119=$B$14),0),2),""))</f>
        <v/>
      </c>
      <c r="O14" s="249" t="str">
        <f t="array" ref="O14">IF(OR(O$11=1,O$11=7),"",IFERROR(INDEX($AM$20:$AP$119,MATCH(1,(O$8&gt;=$AO$20:$AO$119)*($AP$20:$AP$119&gt;=O$8)*($AM$20:$AM$119=$B$14),0),2),""))</f>
        <v/>
      </c>
      <c r="P14" s="249" t="str">
        <f t="array" ref="P14">IF(OR(P$11=1,P$11=7),"",IFERROR(INDEX($AM$20:$AP$119,MATCH(1,(P$8&gt;=$AO$20:$AO$119)*($AP$20:$AP$119&gt;=P$8)*($AM$20:$AM$119=$B$14),0),2),""))</f>
        <v/>
      </c>
      <c r="Q14" s="249" t="str">
        <f t="array" ref="Q14">IF(OR(Q$11=1,Q$11=7),"",IFERROR(INDEX($AM$20:$AP$119,MATCH(1,(Q$8&gt;=$AO$20:$AO$119)*($AP$20:$AP$119&gt;=Q$8)*($AM$20:$AM$119=$B$14),0),2),""))</f>
        <v/>
      </c>
      <c r="R14" s="249" t="str">
        <f t="array" ref="R14">IF(OR(R$11=1,R$11=7),"",IFERROR(INDEX($AM$20:$AP$119,MATCH(1,(R$8&gt;=$AO$20:$AO$119)*($AP$20:$AP$119&gt;=R$8)*($AM$20:$AM$119=$B$14),0),2),""))</f>
        <v/>
      </c>
      <c r="S14" s="249" t="str">
        <f t="array" ref="S14">IF(OR(S$11=1,S$11=7),"",IFERROR(INDEX($AM$20:$AP$119,MATCH(1,(S$8&gt;=$AO$20:$AO$119)*($AP$20:$AP$119&gt;=S$8)*($AM$20:$AM$119=$B$14),0),2),""))</f>
        <v/>
      </c>
      <c r="T14" s="249" t="str">
        <f t="array" ref="T14">IF(OR(T$11=1,T$11=7),"",IFERROR(INDEX($AM$20:$AP$119,MATCH(1,(T$8&gt;=$AO$20:$AO$119)*($AP$20:$AP$119&gt;=T$8)*($AM$20:$AM$119=$B$14),0),2),""))</f>
        <v/>
      </c>
      <c r="U14" s="249" t="str">
        <f t="array" ref="U14">IF(OR(U$11=1,U$11=7),"",IFERROR(INDEX($AM$20:$AP$119,MATCH(1,(U$8&gt;=$AO$20:$AO$119)*($AP$20:$AP$119&gt;=U$8)*($AM$20:$AM$119=$B$14),0),2),""))</f>
        <v/>
      </c>
      <c r="V14" s="249" t="str">
        <f t="array" ref="V14">IF(OR(V$11=1,V$11=7),"",IFERROR(INDEX($AM$20:$AP$119,MATCH(1,(V$8&gt;=$AO$20:$AO$119)*($AP$20:$AP$119&gt;=V$8)*($AM$20:$AM$119=$B$14),0),2),""))</f>
        <v/>
      </c>
      <c r="W14" s="249" t="str">
        <f t="array" ref="W14">IF(OR(W$11=1,W$11=7),"",IFERROR(INDEX($AM$20:$AP$119,MATCH(1,(W$8&gt;=$AO$20:$AO$119)*($AP$20:$AP$119&gt;=W$8)*($AM$20:$AM$119=$B$14),0),2),""))</f>
        <v/>
      </c>
      <c r="X14" s="249" t="str">
        <f t="array" ref="X14">IF(OR(X$11=1,X$11=7),"",IFERROR(INDEX($AM$20:$AP$119,MATCH(1,(X$8&gt;=$AO$20:$AO$119)*($AP$20:$AP$119&gt;=X$8)*($AM$20:$AM$119=$B$14),0),2),""))</f>
        <v/>
      </c>
      <c r="Y14" s="249" t="str">
        <f t="array" ref="Y14">IF(OR(Y$11=1,Y$11=7),"",IFERROR(INDEX($AM$20:$AP$119,MATCH(1,(Y$8&gt;=$AO$20:$AO$119)*($AP$20:$AP$119&gt;=Y$8)*($AM$20:$AM$119=$B$14),0),2),""))</f>
        <v/>
      </c>
      <c r="Z14" s="249" t="str">
        <f t="array" ref="Z14">IF(OR(Z$11=1,Z$11=7),"",IFERROR(INDEX($AM$20:$AP$119,MATCH(1,(Z$8&gt;=$AO$20:$AO$119)*($AP$20:$AP$119&gt;=Z$8)*($AM$20:$AM$119=$B$14),0),2),""))</f>
        <v/>
      </c>
      <c r="AA14" s="249" t="str">
        <f t="array" ref="AA14">IF(OR(AA$11=1,AA$11=7),"",IFERROR(INDEX($AM$20:$AP$119,MATCH(1,(AA$8&gt;=$AO$20:$AO$119)*($AP$20:$AP$119&gt;=AA$8)*($AM$20:$AM$119=$B$14),0),2),""))</f>
        <v/>
      </c>
      <c r="AB14" s="249" t="str">
        <f t="array" ref="AB14">IF(OR(AB$11=1,AB$11=7),"",IFERROR(INDEX($AM$20:$AP$119,MATCH(1,(AB$8&gt;=$AO$20:$AO$119)*($AP$20:$AP$119&gt;=AB$8)*($AM$20:$AM$119=$B$14),0),2),""))</f>
        <v/>
      </c>
      <c r="AC14" s="249" t="str">
        <f t="array" ref="AC14">IF(OR(AC$11=1,AC$11=7),"",IFERROR(INDEX($AM$20:$AP$119,MATCH(1,(AC$8&gt;=$AO$20:$AO$119)*($AP$20:$AP$119&gt;=AC$8)*($AM$20:$AM$119=$B$14),0),2),""))</f>
        <v/>
      </c>
      <c r="AD14" s="249" t="str">
        <f t="array" ref="AD14">IF(OR(AD$11=1,AD$11=7),"",IFERROR(INDEX($AM$20:$AP$119,MATCH(1,(AD$8&gt;=$AO$20:$AO$119)*($AP$20:$AP$119&gt;=AD$8)*($AM$20:$AM$119=$B$14),0),2),""))</f>
        <v/>
      </c>
      <c r="AE14" s="249" t="str">
        <f t="array" ref="AE14">IF(OR(AE$11=1,AE$11=7),"",IFERROR(INDEX($AM$20:$AP$119,MATCH(1,(AE$8&gt;=$AO$20:$AO$119)*($AP$20:$AP$119&gt;=AE$8)*($AM$20:$AM$119=$B$14),0),2),""))</f>
        <v/>
      </c>
      <c r="AF14" s="249" t="str">
        <f t="array" ref="AF14">IF(OR(AF$11=1,AF$11=7),"",IFERROR(INDEX($AM$20:$AP$119,MATCH(1,(AF$8&gt;=$AO$20:$AO$119)*($AP$20:$AP$119&gt;=AF$8)*($AM$20:$AM$119=$B$14),0),2),""))</f>
        <v/>
      </c>
      <c r="AG14" s="249" t="str">
        <f t="array" ref="AG14">IF(OR(AG$11=1,AG$11=7),"",IFERROR(INDEX($AM$20:$AP$119,MATCH(1,(AG$8&gt;=$AO$20:$AO$119)*($AP$20:$AP$119&gt;=AG$8)*($AM$20:$AM$119=$B$14),0),2),""))</f>
        <v/>
      </c>
      <c r="AH14" s="699" t="str">
        <f>B14</f>
        <v>daniel</v>
      </c>
      <c r="AI14" s="709">
        <f>COUNTIF(C14:AG14,$AI$10)</f>
        <v>0</v>
      </c>
      <c r="AJ14" s="13"/>
      <c r="AK14" s="13"/>
      <c r="AL14" s="42"/>
      <c r="AM14" s="45" t="s">
        <v>490</v>
      </c>
      <c r="AN14" s="13"/>
      <c r="AO14" s="13"/>
      <c r="AR14" s="13"/>
      <c r="AS14" s="13"/>
      <c r="AT14" s="13"/>
      <c r="AU14" s="13"/>
      <c r="AV14" s="70"/>
      <c r="AW14" s="57"/>
      <c r="AX14" s="57"/>
      <c r="AY14" s="57"/>
      <c r="AZ14" s="54"/>
      <c r="BA14" s="54"/>
      <c r="BB14" s="54"/>
      <c r="BC14" s="55"/>
      <c r="BD14" s="56"/>
      <c r="BE14" s="56"/>
      <c r="BF14" s="56"/>
      <c r="BG14" s="56"/>
      <c r="BI14" s="290"/>
      <c r="BJ14" s="295"/>
      <c r="BK14" s="314" t="s">
        <v>658</v>
      </c>
      <c r="BL14" s="315" t="s">
        <v>659</v>
      </c>
      <c r="BM14" s="316"/>
      <c r="BN14" s="316"/>
      <c r="BO14" s="316"/>
      <c r="BP14" s="316"/>
      <c r="BQ14" s="316"/>
      <c r="BR14" s="316"/>
      <c r="BS14" s="317" t="s">
        <v>7</v>
      </c>
      <c r="BT14" s="315" t="s">
        <v>370</v>
      </c>
      <c r="BU14" s="292"/>
      <c r="BV14" s="294"/>
      <c r="BW14" s="294"/>
      <c r="BX14" s="313"/>
      <c r="BZ14" s="359">
        <f t="shared" si="0"/>
        <v>44058</v>
      </c>
      <c r="CA14" s="360">
        <f>DATE(BZ4,8,15)</f>
        <v>44058</v>
      </c>
      <c r="CB14" s="361" t="s">
        <v>586</v>
      </c>
      <c r="CC14" s="563"/>
      <c r="CD14" s="362" t="s">
        <v>732</v>
      </c>
      <c r="CE14" s="363">
        <f>CE8+50</f>
        <v>44718</v>
      </c>
    </row>
    <row r="15" spans="1:83" ht="19.5" thickBot="1" x14ac:dyDescent="0.3">
      <c r="A15" s="13"/>
      <c r="B15" s="611">
        <f>COUNTA(C15:AG15)</f>
        <v>0</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706">
        <f>COUNTIF(C14:AG14,$AH$11)</f>
        <v>0</v>
      </c>
      <c r="AI15" s="714">
        <f>COUNTIF(C14:AG14,$AI$11)</f>
        <v>0</v>
      </c>
      <c r="AJ15" s="13"/>
      <c r="AK15" s="13"/>
      <c r="AL15" s="13"/>
      <c r="AN15" s="13"/>
      <c r="AO15" s="13"/>
      <c r="AP15" s="13"/>
      <c r="AQ15" s="1507" t="s">
        <v>491</v>
      </c>
      <c r="AR15" s="13"/>
      <c r="AS15" s="13"/>
      <c r="AT15" s="13"/>
      <c r="AU15" s="13"/>
      <c r="AV15" s="94" t="s">
        <v>82</v>
      </c>
      <c r="AW15" s="50">
        <v>0.29166666666666669</v>
      </c>
      <c r="AX15" s="50">
        <v>0.5625</v>
      </c>
      <c r="AY15" s="51">
        <v>1</v>
      </c>
      <c r="AZ15" s="52">
        <f>IF(AX15-AW15=0,0,(AX15-AW15)-(AY15*TIMEVALUE("00:30")))</f>
        <v>0.24999999999999997</v>
      </c>
      <c r="BA15" s="53" t="s">
        <v>122</v>
      </c>
      <c r="BB15" s="54"/>
      <c r="BC15" s="55"/>
      <c r="BD15" s="56"/>
      <c r="BE15" s="56"/>
      <c r="BF15" s="56"/>
      <c r="BG15" s="56"/>
      <c r="BI15" s="290"/>
      <c r="BJ15" s="295"/>
      <c r="BK15" s="314" t="s">
        <v>660</v>
      </c>
      <c r="BL15" s="59" t="s">
        <v>661</v>
      </c>
      <c r="BM15" s="294"/>
      <c r="BN15" s="294"/>
      <c r="BO15" s="294"/>
      <c r="BP15" s="292"/>
      <c r="BQ15" s="292"/>
      <c r="BR15" s="292"/>
      <c r="BS15" s="318" t="s">
        <v>8</v>
      </c>
      <c r="BT15" s="315" t="s">
        <v>367</v>
      </c>
      <c r="BU15" s="292"/>
      <c r="BV15" s="294"/>
      <c r="BW15" s="294"/>
      <c r="BX15" s="313"/>
      <c r="BZ15" s="359">
        <f t="shared" si="0"/>
        <v>44136</v>
      </c>
      <c r="CA15" s="360">
        <f>DATE(BZ4,11,1)</f>
        <v>44136</v>
      </c>
      <c r="CB15" s="361" t="s">
        <v>735</v>
      </c>
      <c r="CC15" s="563"/>
      <c r="CD15" s="362" t="s">
        <v>733</v>
      </c>
      <c r="CE15" s="363">
        <f>DATE(CD4,7,14)</f>
        <v>44756</v>
      </c>
    </row>
    <row r="16" spans="1:83" ht="14.25" customHeight="1" x14ac:dyDescent="0.25">
      <c r="A16" s="13"/>
      <c r="B16" s="696" t="s">
        <v>855</v>
      </c>
      <c r="C16" s="249" t="str">
        <f t="array" ref="C16">IF(OR(C$11=1,C$11=7),"",IFERROR(INDEX($AM$20:$AP$119,MATCH(1,(C$8&gt;=$AO$20:$AO$119)*($AP$20:$AP$119&gt;=C$8)*($AM$20:$AM$119=$B$16),0),2),""))</f>
        <v/>
      </c>
      <c r="D16" s="249" t="str">
        <f t="array" ref="D16">IF(OR(D$11=1,D$11=7),"",IFERROR(INDEX($AM$20:$AP$119,MATCH(1,(D$8&gt;=$AO$20:$AO$119)*($AP$20:$AP$119&gt;=D$8)*($AM$20:$AM$119=$B$16),0),2),""))</f>
        <v/>
      </c>
      <c r="E16" s="249" t="str">
        <f t="array" ref="E16">IF(OR(E$11=1,E$11=7),"",IFERROR(INDEX($AM$20:$AP$119,MATCH(1,(E$8&gt;=$AO$20:$AO$119)*($AP$20:$AP$119&gt;=E$8)*($AM$20:$AM$119=$B$16),0),2),""))</f>
        <v/>
      </c>
      <c r="F16" s="249" t="str">
        <f t="array" ref="F16">IF(OR(F$11=1,F$11=7),"",IFERROR(INDEX($AM$20:$AP$119,MATCH(1,(F$8&gt;=$AO$20:$AO$119)*($AP$20:$AP$119&gt;=F$8)*($AM$20:$AM$119=$B$16),0),2),""))</f>
        <v/>
      </c>
      <c r="G16" s="249" t="str">
        <f t="array" ref="G16">IF(OR(G$11=1,G$11=7),"",IFERROR(INDEX($AM$20:$AP$119,MATCH(1,(G$8&gt;=$AO$20:$AO$119)*($AP$20:$AP$119&gt;=G$8)*($AM$20:$AM$119=$B$16),0),2),""))</f>
        <v/>
      </c>
      <c r="H16" s="249" t="str">
        <f t="array" ref="H16">IF(OR(H$11=1,H$11=7),"",IFERROR(INDEX($AM$20:$AP$119,MATCH(1,(H$8&gt;=$AO$20:$AO$119)*($AP$20:$AP$119&gt;=H$8)*($AM$20:$AM$119=$B$16),0),2),""))</f>
        <v/>
      </c>
      <c r="I16" s="249" t="str">
        <f t="array" ref="I16">IF(OR(I$11=1,I$11=7),"",IFERROR(INDEX($AM$20:$AP$119,MATCH(1,(I$8&gt;=$AO$20:$AO$119)*($AP$20:$AP$119&gt;=I$8)*($AM$20:$AM$119=$B$16),0),2),""))</f>
        <v/>
      </c>
      <c r="J16" s="249" t="str">
        <f t="array" ref="J16">IF(OR(J$11=1,J$11=7),"",IFERROR(INDEX($AM$20:$AP$119,MATCH(1,(J$8&gt;=$AO$20:$AO$119)*($AP$20:$AP$119&gt;=J$8)*($AM$20:$AM$119=$B$16),0),2),""))</f>
        <v/>
      </c>
      <c r="K16" s="249" t="str">
        <f t="array" ref="K16">IF(OR(K$11=1,K$11=7),"",IFERROR(INDEX($AM$20:$AP$119,MATCH(1,(K$8&gt;=$AO$20:$AO$119)*($AP$20:$AP$119&gt;=K$8)*($AM$20:$AM$119=$B$16),0),2),""))</f>
        <v/>
      </c>
      <c r="L16" s="249" t="str">
        <f t="array" ref="L16">IF(OR(L$11=1,L$11=7),"",IFERROR(INDEX($AM$20:$AP$119,MATCH(1,(L$8&gt;=$AO$20:$AO$119)*($AP$20:$AP$119&gt;=L$8)*($AM$20:$AM$119=$B$16),0),2),""))</f>
        <v/>
      </c>
      <c r="M16" s="249" t="str">
        <f t="array" ref="M16">IF(OR(M$11=1,M$11=7),"",IFERROR(INDEX($AM$20:$AP$119,MATCH(1,(M$8&gt;=$AO$20:$AO$119)*($AP$20:$AP$119&gt;=M$8)*($AM$20:$AM$119=$B$16),0),2),""))</f>
        <v/>
      </c>
      <c r="N16" s="249" t="str">
        <f t="array" ref="N16">IF(OR(N$11=1,N$11=7),"",IFERROR(INDEX($AM$20:$AP$119,MATCH(1,(N$8&gt;=$AO$20:$AO$119)*($AP$20:$AP$119&gt;=N$8)*($AM$20:$AM$119=$B$16),0),2),""))</f>
        <v/>
      </c>
      <c r="O16" s="249" t="str">
        <f t="array" ref="O16">IF(OR(O$11=1,O$11=7),"",IFERROR(INDEX($AM$20:$AP$119,MATCH(1,(O$8&gt;=$AO$20:$AO$119)*($AP$20:$AP$119&gt;=O$8)*($AM$20:$AM$119=$B$16),0),2),""))</f>
        <v/>
      </c>
      <c r="P16" s="249" t="str">
        <f t="array" ref="P16">IF(OR(P$11=1,P$11=7),"",IFERROR(INDEX($AM$20:$AP$119,MATCH(1,(P$8&gt;=$AO$20:$AO$119)*($AP$20:$AP$119&gt;=P$8)*($AM$20:$AM$119=$B$16),0),2),""))</f>
        <v/>
      </c>
      <c r="Q16" s="249" t="str">
        <f t="array" ref="Q16">IF(OR(Q$11=1,Q$11=7),"",IFERROR(INDEX($AM$20:$AP$119,MATCH(1,(Q$8&gt;=$AO$20:$AO$119)*($AP$20:$AP$119&gt;=Q$8)*($AM$20:$AM$119=$B$16),0),2),""))</f>
        <v/>
      </c>
      <c r="R16" s="249" t="str">
        <f t="array" ref="R16">IF(OR(R$11=1,R$11=7),"",IFERROR(INDEX($AM$20:$AP$119,MATCH(1,(R$8&gt;=$AO$20:$AO$119)*($AP$20:$AP$119&gt;=R$8)*($AM$20:$AM$119=$B$16),0),2),""))</f>
        <v/>
      </c>
      <c r="S16" s="249" t="str">
        <f t="array" ref="S16">IF(OR(S$11=1,S$11=7),"",IFERROR(INDEX($AM$20:$AP$119,MATCH(1,(S$8&gt;=$AO$20:$AO$119)*($AP$20:$AP$119&gt;=S$8)*($AM$20:$AM$119=$B$16),0),2),""))</f>
        <v/>
      </c>
      <c r="T16" s="249" t="str">
        <f t="array" ref="T16">IF(OR(T$11=1,T$11=7),"",IFERROR(INDEX($AM$20:$AP$119,MATCH(1,(T$8&gt;=$AO$20:$AO$119)*($AP$20:$AP$119&gt;=T$8)*($AM$20:$AM$119=$B$16),0),2),""))</f>
        <v/>
      </c>
      <c r="U16" s="249" t="str">
        <f t="array" ref="U16">IF(OR(U$11=1,U$11=7),"",IFERROR(INDEX($AM$20:$AP$119,MATCH(1,(U$8&gt;=$AO$20:$AO$119)*($AP$20:$AP$119&gt;=U$8)*($AM$20:$AM$119=$B$16),0),2),""))</f>
        <v/>
      </c>
      <c r="V16" s="249" t="str">
        <f t="array" ref="V16">IF(OR(V$11=1,V$11=7),"",IFERROR(INDEX($AM$20:$AP$119,MATCH(1,(V$8&gt;=$AO$20:$AO$119)*($AP$20:$AP$119&gt;=V$8)*($AM$20:$AM$119=$B$16),0),2),""))</f>
        <v/>
      </c>
      <c r="W16" s="249" t="str">
        <f t="array" ref="W16">IF(OR(W$11=1,W$11=7),"",IFERROR(INDEX($AM$20:$AP$119,MATCH(1,(W$8&gt;=$AO$20:$AO$119)*($AP$20:$AP$119&gt;=W$8)*($AM$20:$AM$119=$B$16),0),2),""))</f>
        <v/>
      </c>
      <c r="X16" s="249" t="str">
        <f t="array" ref="X16">IF(OR(X$11=1,X$11=7),"",IFERROR(INDEX($AM$20:$AP$119,MATCH(1,(X$8&gt;=$AO$20:$AO$119)*($AP$20:$AP$119&gt;=X$8)*($AM$20:$AM$119=$B$16),0),2),""))</f>
        <v/>
      </c>
      <c r="Y16" s="249" t="str">
        <f t="array" ref="Y16">IF(OR(Y$11=1,Y$11=7),"",IFERROR(INDEX($AM$20:$AP$119,MATCH(1,(Y$8&gt;=$AO$20:$AO$119)*($AP$20:$AP$119&gt;=Y$8)*($AM$20:$AM$119=$B$16),0),2),""))</f>
        <v/>
      </c>
      <c r="Z16" s="249" t="str">
        <f t="array" ref="Z16">IF(OR(Z$11=1,Z$11=7),"",IFERROR(INDEX($AM$20:$AP$119,MATCH(1,(Z$8&gt;=$AO$20:$AO$119)*($AP$20:$AP$119&gt;=Z$8)*($AM$20:$AM$119=$B$16),0),2),""))</f>
        <v/>
      </c>
      <c r="AA16" s="249" t="str">
        <f t="array" ref="AA16">IF(OR(AA$11=1,AA$11=7),"",IFERROR(INDEX($AM$20:$AP$119,MATCH(1,(AA$8&gt;=$AO$20:$AO$119)*($AP$20:$AP$119&gt;=AA$8)*($AM$20:$AM$119=$B$16),0),2),""))</f>
        <v/>
      </c>
      <c r="AB16" s="249" t="str">
        <f t="array" ref="AB16">IF(OR(AB$11=1,AB$11=7),"",IFERROR(INDEX($AM$20:$AP$119,MATCH(1,(AB$8&gt;=$AO$20:$AO$119)*($AP$20:$AP$119&gt;=AB$8)*($AM$20:$AM$119=$B$16),0),2),""))</f>
        <v/>
      </c>
      <c r="AC16" s="249" t="str">
        <f t="array" ref="AC16">IF(OR(AC$11=1,AC$11=7),"",IFERROR(INDEX($AM$20:$AP$119,MATCH(1,(AC$8&gt;=$AO$20:$AO$119)*($AP$20:$AP$119&gt;=AC$8)*($AM$20:$AM$119=$B$16),0),2),""))</f>
        <v/>
      </c>
      <c r="AD16" s="249" t="str">
        <f t="array" ref="AD16">IF(OR(AD$11=1,AD$11=7),"",IFERROR(INDEX($AM$20:$AP$119,MATCH(1,(AD$8&gt;=$AO$20:$AO$119)*($AP$20:$AP$119&gt;=AD$8)*($AM$20:$AM$119=$B$16),0),2),""))</f>
        <v/>
      </c>
      <c r="AE16" s="249" t="str">
        <f t="array" ref="AE16">IF(OR(AE$11=1,AE$11=7),"",IFERROR(INDEX($AM$20:$AP$119,MATCH(1,(AE$8&gt;=$AO$20:$AO$119)*($AP$20:$AP$119&gt;=AE$8)*($AM$20:$AM$119=$B$16),0),2),""))</f>
        <v/>
      </c>
      <c r="AF16" s="249" t="str">
        <f t="array" ref="AF16">IF(OR(AF$11=1,AF$11=7),"",IFERROR(INDEX($AM$20:$AP$119,MATCH(1,(AF$8&gt;=$AO$20:$AO$119)*($AP$20:$AP$119&gt;=AF$8)*($AM$20:$AM$119=$B$16),0),2),""))</f>
        <v/>
      </c>
      <c r="AG16" s="249" t="str">
        <f t="array" ref="AG16">IF(OR(AG$11=1,AG$11=7),"",IFERROR(INDEX($AM$20:$AP$119,MATCH(1,(AG$8&gt;=$AO$20:$AO$119)*($AP$20:$AP$119&gt;=AG$8)*($AM$20:$AM$119=$B$16),0),2),""))</f>
        <v/>
      </c>
      <c r="AH16" s="256" t="str">
        <f>B16</f>
        <v>didier</v>
      </c>
      <c r="AI16" s="709">
        <f>COUNTIF(C16:AG16,$AI$10)</f>
        <v>0</v>
      </c>
      <c r="AJ16" s="13"/>
      <c r="AK16" s="594" t="s">
        <v>862</v>
      </c>
      <c r="AL16" s="13"/>
      <c r="AM16" s="13"/>
      <c r="AN16" s="13"/>
      <c r="AO16" s="13"/>
      <c r="AP16" s="13"/>
      <c r="AQ16" s="1507"/>
      <c r="AR16" s="13"/>
      <c r="AS16" s="13"/>
      <c r="AT16" s="13"/>
      <c r="AU16" s="13"/>
      <c r="AV16"/>
      <c r="AW16"/>
      <c r="AX16"/>
      <c r="AY16"/>
      <c r="AZ16"/>
      <c r="BA16"/>
      <c r="BB16"/>
      <c r="BC16"/>
      <c r="BD16"/>
      <c r="BE16"/>
      <c r="BF16"/>
      <c r="BG16"/>
      <c r="BI16" s="290"/>
      <c r="BJ16" s="295"/>
      <c r="BK16" s="314" t="s">
        <v>371</v>
      </c>
      <c r="BL16" s="59" t="s">
        <v>372</v>
      </c>
      <c r="BM16" s="294"/>
      <c r="BN16" s="294"/>
      <c r="BO16" s="294"/>
      <c r="BP16" s="292"/>
      <c r="BQ16" s="292"/>
      <c r="BR16" s="292"/>
      <c r="BS16" s="319" t="s">
        <v>364</v>
      </c>
      <c r="BT16" s="315" t="s">
        <v>365</v>
      </c>
      <c r="BU16" s="292"/>
      <c r="BV16" s="294"/>
      <c r="BW16" s="294"/>
      <c r="BX16" s="313"/>
      <c r="BZ16" s="359">
        <f t="shared" si="0"/>
        <v>44146</v>
      </c>
      <c r="CA16" s="360">
        <f>DATE(BZ4,11,11)</f>
        <v>44146</v>
      </c>
      <c r="CB16" s="361" t="s">
        <v>587</v>
      </c>
      <c r="CC16" s="563"/>
      <c r="CD16" s="362" t="s">
        <v>586</v>
      </c>
      <c r="CE16" s="363">
        <f>DATE(CD4,8,15)</f>
        <v>44788</v>
      </c>
    </row>
    <row r="17" spans="1:83" ht="16.5" customHeight="1" thickBot="1" x14ac:dyDescent="0.3">
      <c r="A17" s="13"/>
      <c r="B17" s="611">
        <f>COUNTA(C17:AG17)</f>
        <v>0</v>
      </c>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706">
        <f>COUNTIF(C16:AG16,$AH$11)</f>
        <v>0</v>
      </c>
      <c r="AI17" s="714">
        <f>COUNTIF(C16:AG16,$AI$11)</f>
        <v>0</v>
      </c>
      <c r="AJ17" s="13"/>
      <c r="AK17" s="1515" t="s">
        <v>859</v>
      </c>
      <c r="AL17" s="13"/>
      <c r="AM17" s="623" t="s">
        <v>828</v>
      </c>
      <c r="AN17" s="13"/>
      <c r="AO17" s="13"/>
      <c r="AP17" s="13"/>
      <c r="AQ17" s="13"/>
      <c r="AR17" s="13"/>
      <c r="AS17" s="13"/>
      <c r="AT17" s="13"/>
      <c r="AU17" s="13"/>
      <c r="AV17" s="94" t="s">
        <v>83</v>
      </c>
      <c r="AW17" s="50">
        <v>0.375</v>
      </c>
      <c r="AX17" s="50">
        <v>0.54166666666666663</v>
      </c>
      <c r="AY17" s="51">
        <v>0</v>
      </c>
      <c r="AZ17" s="52">
        <f>IF(AX17-AW17=0,0,(AX17-AW17)-(AY17*TIMEVALUE("00:30")))</f>
        <v>0.16666666666666663</v>
      </c>
      <c r="BA17" s="53" t="s">
        <v>65</v>
      </c>
      <c r="BB17" s="54"/>
      <c r="BC17" s="55"/>
      <c r="BD17" s="56"/>
      <c r="BE17" s="56"/>
      <c r="BF17" s="56"/>
      <c r="BG17" s="56"/>
      <c r="BI17" s="290"/>
      <c r="BJ17" s="295"/>
      <c r="BK17" s="320" t="s">
        <v>354</v>
      </c>
      <c r="BL17" s="59" t="s">
        <v>355</v>
      </c>
      <c r="BM17" s="294"/>
      <c r="BN17" s="294"/>
      <c r="BO17" s="294"/>
      <c r="BP17" s="292"/>
      <c r="BQ17" s="292"/>
      <c r="BR17" s="292"/>
      <c r="BS17" s="321" t="s">
        <v>373</v>
      </c>
      <c r="BT17" s="59" t="s">
        <v>374</v>
      </c>
      <c r="BU17" s="292"/>
      <c r="BV17" s="294"/>
      <c r="BW17" s="294"/>
      <c r="BX17" s="313"/>
      <c r="BZ17" s="359">
        <f t="shared" si="0"/>
        <v>44190</v>
      </c>
      <c r="CA17" s="360">
        <f>DATE(BZ4,12,25)</f>
        <v>44190</v>
      </c>
      <c r="CB17" s="361" t="s">
        <v>723</v>
      </c>
      <c r="CC17" s="563"/>
      <c r="CD17" s="362" t="s">
        <v>735</v>
      </c>
      <c r="CE17" s="363">
        <f>DATE(CD4,11,1)</f>
        <v>44866</v>
      </c>
    </row>
    <row r="18" spans="1:83" ht="18.75" x14ac:dyDescent="0.25">
      <c r="A18" s="13"/>
      <c r="B18" s="697" t="s">
        <v>499</v>
      </c>
      <c r="C18" s="249" t="str">
        <f t="array" ref="C18">IF(OR(C$11=1,C$11=7),"",IFERROR(INDEX($AM$20:$AP$119,MATCH(1,(C$8&gt;=$AO$20:$AO$119)*($AP$20:$AP$119&gt;=C$8)*($AM$20:$AM$119=$B$18),0),2),""))</f>
        <v/>
      </c>
      <c r="D18" s="249" t="str">
        <f t="array" ref="D18">IF(OR(D$11=1,D$11=7),"",IFERROR(INDEX($AM$20:$AP$119,MATCH(1,(D$8&gt;=$AO$20:$AO$119)*($AP$20:$AP$119&gt;=D$8)*($AM$20:$AM$119=$B$18),0),2),""))</f>
        <v/>
      </c>
      <c r="E18" s="249" t="str">
        <f t="array" ref="E18">IF(OR(E$11=1,E$11=7),"",IFERROR(INDEX($AM$20:$AP$119,MATCH(1,(E$8&gt;=$AO$20:$AO$119)*($AP$20:$AP$119&gt;=E$8)*($AM$20:$AM$119=$B$18),0),2),""))</f>
        <v/>
      </c>
      <c r="F18" s="249" t="str">
        <f t="array" ref="F18">IF(OR(F$11=1,F$11=7),"",IFERROR(INDEX($AM$20:$AP$119,MATCH(1,(F$8&gt;=$AO$20:$AO$119)*($AP$20:$AP$119&gt;=F$8)*($AM$20:$AM$119=$B$18),0),2),""))</f>
        <v/>
      </c>
      <c r="G18" s="249" t="str">
        <f t="array" ref="G18">IF(OR(G$11=1,G$11=7),"",IFERROR(INDEX($AM$20:$AP$119,MATCH(1,(G$8&gt;=$AO$20:$AO$119)*($AP$20:$AP$119&gt;=G$8)*($AM$20:$AM$119=$B$18),0),2),""))</f>
        <v/>
      </c>
      <c r="H18" s="249" t="str">
        <f t="array" ref="H18">IF(OR(H$11=1,H$11=7),"",IFERROR(INDEX($AM$20:$AP$119,MATCH(1,(H$8&gt;=$AO$20:$AO$119)*($AP$20:$AP$119&gt;=H$8)*($AM$20:$AM$119=$B$18),0),2),""))</f>
        <v/>
      </c>
      <c r="I18" s="249" t="str">
        <f t="array" ref="I18">IF(OR(I$11=1,I$11=7),"",IFERROR(INDEX($AM$20:$AP$119,MATCH(1,(I$8&gt;=$AO$20:$AO$119)*($AP$20:$AP$119&gt;=I$8)*($AM$20:$AM$119=$B$18),0),2),""))</f>
        <v/>
      </c>
      <c r="J18" s="249" t="str">
        <f t="array" ref="J18">IF(OR(J$11=1,J$11=7),"",IFERROR(INDEX($AM$20:$AP$119,MATCH(1,(J$8&gt;=$AO$20:$AO$119)*($AP$20:$AP$119&gt;=J$8)*($AM$20:$AM$119=$B$18),0),2),""))</f>
        <v/>
      </c>
      <c r="K18" s="249" t="str">
        <f t="array" ref="K18">IF(OR(K$11=1,K$11=7),"",IFERROR(INDEX($AM$20:$AP$119,MATCH(1,(K$8&gt;=$AO$20:$AO$119)*($AP$20:$AP$119&gt;=K$8)*($AM$20:$AM$119=$B$18),0),2),""))</f>
        <v/>
      </c>
      <c r="L18" s="249" t="str">
        <f t="array" ref="L18">IF(OR(L$11=1,L$11=7),"",IFERROR(INDEX($AM$20:$AP$119,MATCH(1,(L$8&gt;=$AO$20:$AO$119)*($AP$20:$AP$119&gt;=L$8)*($AM$20:$AM$119=$B$18),0),2),""))</f>
        <v/>
      </c>
      <c r="M18" s="249" t="str">
        <f t="array" ref="M18">IF(OR(M$11=1,M$11=7),"",IFERROR(INDEX($AM$20:$AP$119,MATCH(1,(M$8&gt;=$AO$20:$AO$119)*($AP$20:$AP$119&gt;=M$8)*($AM$20:$AM$119=$B$18),0),2),""))</f>
        <v/>
      </c>
      <c r="N18" s="249" t="str">
        <f t="array" ref="N18">IF(OR(N$11=1,N$11=7),"",IFERROR(INDEX($AM$20:$AP$119,MATCH(1,(N$8&gt;=$AO$20:$AO$119)*($AP$20:$AP$119&gt;=N$8)*($AM$20:$AM$119=$B$18),0),2),""))</f>
        <v/>
      </c>
      <c r="O18" s="249" t="str">
        <f t="array" ref="O18">IF(OR(O$11=1,O$11=7),"",IFERROR(INDEX($AM$20:$AP$119,MATCH(1,(O$8&gt;=$AO$20:$AO$119)*($AP$20:$AP$119&gt;=O$8)*($AM$20:$AM$119=$B$18),0),2),""))</f>
        <v/>
      </c>
      <c r="P18" s="249" t="str">
        <f t="array" ref="P18">IF(OR(P$11=1,P$11=7),"",IFERROR(INDEX($AM$20:$AP$119,MATCH(1,(P$8&gt;=$AO$20:$AO$119)*($AP$20:$AP$119&gt;=P$8)*($AM$20:$AM$119=$B$18),0),2),""))</f>
        <v/>
      </c>
      <c r="Q18" s="249" t="str">
        <f t="array" ref="Q18">IF(OR(Q$11=1,Q$11=7),"",IFERROR(INDEX($AM$20:$AP$119,MATCH(1,(Q$8&gt;=$AO$20:$AO$119)*($AP$20:$AP$119&gt;=Q$8)*($AM$20:$AM$119=$B$18),0),2),""))</f>
        <v/>
      </c>
      <c r="R18" s="249" t="str">
        <f t="array" ref="R18">IF(OR(R$11=1,R$11=7),"",IFERROR(INDEX($AM$20:$AP$119,MATCH(1,(R$8&gt;=$AO$20:$AO$119)*($AP$20:$AP$119&gt;=R$8)*($AM$20:$AM$119=$B$18),0),2),""))</f>
        <v/>
      </c>
      <c r="S18" s="249" t="str">
        <f t="array" ref="S18">IF(OR(S$11=1,S$11=7),"",IFERROR(INDEX($AM$20:$AP$119,MATCH(1,(S$8&gt;=$AO$20:$AO$119)*($AP$20:$AP$119&gt;=S$8)*($AM$20:$AM$119=$B$18),0),2),""))</f>
        <v/>
      </c>
      <c r="T18" s="249" t="str">
        <f t="array" ref="T18">IF(OR(T$11=1,T$11=7),"",IFERROR(INDEX($AM$20:$AP$119,MATCH(1,(T$8&gt;=$AO$20:$AO$119)*($AP$20:$AP$119&gt;=T$8)*($AM$20:$AM$119=$B$18),0),2),""))</f>
        <v/>
      </c>
      <c r="U18" s="249" t="str">
        <f t="array" ref="U18">IF(OR(U$11=1,U$11=7),"",IFERROR(INDEX($AM$20:$AP$119,MATCH(1,(U$8&gt;=$AO$20:$AO$119)*($AP$20:$AP$119&gt;=U$8)*($AM$20:$AM$119=$B$18),0),2),""))</f>
        <v/>
      </c>
      <c r="V18" s="249" t="str">
        <f t="array" ref="V18">IF(OR(V$11=1,V$11=7),"",IFERROR(INDEX($AM$20:$AP$119,MATCH(1,(V$8&gt;=$AO$20:$AO$119)*($AP$20:$AP$119&gt;=V$8)*($AM$20:$AM$119=$B$18),0),2),""))</f>
        <v/>
      </c>
      <c r="W18" s="249" t="str">
        <f t="array" ref="W18">IF(OR(W$11=1,W$11=7),"",IFERROR(INDEX($AM$20:$AP$119,MATCH(1,(W$8&gt;=$AO$20:$AO$119)*($AP$20:$AP$119&gt;=W$8)*($AM$20:$AM$119=$B$18),0),2),""))</f>
        <v/>
      </c>
      <c r="X18" s="249" t="str">
        <f t="array" ref="X18">IF(OR(X$11=1,X$11=7),"",IFERROR(INDEX($AM$20:$AP$119,MATCH(1,(X$8&gt;=$AO$20:$AO$119)*($AP$20:$AP$119&gt;=X$8)*($AM$20:$AM$119=$B$18),0),2),""))</f>
        <v/>
      </c>
      <c r="Y18" s="249" t="str">
        <f t="array" ref="Y18">IF(OR(Y$11=1,Y$11=7),"",IFERROR(INDEX($AM$20:$AP$119,MATCH(1,(Y$8&gt;=$AO$20:$AO$119)*($AP$20:$AP$119&gt;=Y$8)*($AM$20:$AM$119=$B$18),0),2),""))</f>
        <v/>
      </c>
      <c r="Z18" s="249" t="str">
        <f t="array" ref="Z18">IF(OR(Z$11=1,Z$11=7),"",IFERROR(INDEX($AM$20:$AP$119,MATCH(1,(Z$8&gt;=$AO$20:$AO$119)*($AP$20:$AP$119&gt;=Z$8)*($AM$20:$AM$119=$B$18),0),2),""))</f>
        <v/>
      </c>
      <c r="AA18" s="249" t="str">
        <f t="array" ref="AA18">IF(OR(AA$11=1,AA$11=7),"",IFERROR(INDEX($AM$20:$AP$119,MATCH(1,(AA$8&gt;=$AO$20:$AO$119)*($AP$20:$AP$119&gt;=AA$8)*($AM$20:$AM$119=$B$18),0),2),""))</f>
        <v/>
      </c>
      <c r="AB18" s="249" t="str">
        <f t="array" ref="AB18">IF(OR(AB$11=1,AB$11=7),"",IFERROR(INDEX($AM$20:$AP$119,MATCH(1,(AB$8&gt;=$AO$20:$AO$119)*($AP$20:$AP$119&gt;=AB$8)*($AM$20:$AM$119=$B$18),0),2),""))</f>
        <v/>
      </c>
      <c r="AC18" s="249" t="str">
        <f t="array" ref="AC18">IF(OR(AC$11=1,AC$11=7),"",IFERROR(INDEX($AM$20:$AP$119,MATCH(1,(AC$8&gt;=$AO$20:$AO$119)*($AP$20:$AP$119&gt;=AC$8)*($AM$20:$AM$119=$B$18),0),2),""))</f>
        <v/>
      </c>
      <c r="AD18" s="249" t="str">
        <f t="array" ref="AD18">IF(OR(AD$11=1,AD$11=7),"",IFERROR(INDEX($AM$20:$AP$119,MATCH(1,(AD$8&gt;=$AO$20:$AO$119)*($AP$20:$AP$119&gt;=AD$8)*($AM$20:$AM$119=$B$18),0),2),""))</f>
        <v/>
      </c>
      <c r="AE18" s="249" t="str">
        <f t="array" ref="AE18">IF(OR(AE$11=1,AE$11=7),"",IFERROR(INDEX($AM$20:$AP$119,MATCH(1,(AE$8&gt;=$AO$20:$AO$119)*($AP$20:$AP$119&gt;=AE$8)*($AM$20:$AM$119=$B$18),0),2),""))</f>
        <v/>
      </c>
      <c r="AF18" s="249" t="str">
        <f t="array" ref="AF18">IF(OR(AF$11=1,AF$11=7),"",IFERROR(INDEX($AM$20:$AP$119,MATCH(1,(AF$8&gt;=$AO$20:$AO$119)*($AP$20:$AP$119&gt;=AF$8)*($AM$20:$AM$119=$B$18),0),2),""))</f>
        <v/>
      </c>
      <c r="AG18" s="249" t="str">
        <f t="array" ref="AG18">IF(OR(AG$11=1,AG$11=7),"",IFERROR(INDEX($AM$20:$AP$119,MATCH(1,(AG$8&gt;=$AO$20:$AO$119)*($AP$20:$AP$119&gt;=AG$8)*($AM$20:$AM$119=$B$18),0),2),""))</f>
        <v/>
      </c>
      <c r="AH18" s="256" t="str">
        <f>B18</f>
        <v>emilie</v>
      </c>
      <c r="AI18" s="709">
        <f>COUNTIF(C18:AG18,$AI$10)</f>
        <v>0</v>
      </c>
      <c r="AJ18" s="13"/>
      <c r="AK18" s="1515"/>
      <c r="AL18" s="13"/>
      <c r="AM18" s="1473" t="s">
        <v>798</v>
      </c>
      <c r="AN18" s="1473"/>
      <c r="AO18" s="1473"/>
      <c r="AP18" s="1473"/>
      <c r="AQ18" s="1473"/>
      <c r="AR18" s="13"/>
      <c r="AS18" s="1472" t="s">
        <v>865</v>
      </c>
      <c r="AT18" s="1472"/>
      <c r="AU18" s="13"/>
      <c r="AV18" s="70"/>
      <c r="AW18" s="57"/>
      <c r="AX18" s="57"/>
      <c r="AY18" s="57"/>
      <c r="AZ18" s="54"/>
      <c r="BA18" s="54"/>
      <c r="BB18" s="54"/>
      <c r="BC18" s="55"/>
      <c r="BD18" s="56"/>
      <c r="BE18" s="56"/>
      <c r="BF18" s="56"/>
      <c r="BG18" s="56"/>
      <c r="BI18" s="290"/>
      <c r="BJ18" s="295"/>
      <c r="BK18" s="320" t="s">
        <v>360</v>
      </c>
      <c r="BL18" s="315" t="s">
        <v>361</v>
      </c>
      <c r="BM18" s="294"/>
      <c r="BN18" s="294"/>
      <c r="BO18" s="294"/>
      <c r="BP18" s="294"/>
      <c r="BQ18" s="294"/>
      <c r="BR18" s="294"/>
      <c r="BS18" s="321" t="s">
        <v>662</v>
      </c>
      <c r="BT18" s="315" t="s">
        <v>663</v>
      </c>
      <c r="BU18" s="292"/>
      <c r="BV18" s="294"/>
      <c r="BW18" s="294"/>
      <c r="BX18" s="313"/>
      <c r="BZ18" s="366">
        <f>BZ21</f>
        <v>44197</v>
      </c>
      <c r="CA18" s="367">
        <f>CA21</f>
        <v>44197</v>
      </c>
      <c r="CB18" s="368" t="s">
        <v>721</v>
      </c>
      <c r="CC18" s="563"/>
      <c r="CD18" s="362" t="s">
        <v>587</v>
      </c>
      <c r="CE18" s="363">
        <f>DATE(CD4,11,11)</f>
        <v>44876</v>
      </c>
    </row>
    <row r="19" spans="1:83" ht="19.5" customHeight="1" thickBot="1" x14ac:dyDescent="0.3">
      <c r="A19" s="13"/>
      <c r="B19" s="611">
        <f>COUNTA(C19:AG19)</f>
        <v>0</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706">
        <f>COUNTIF(C18:AG18,$AH$11)</f>
        <v>0</v>
      </c>
      <c r="AI19" s="714">
        <f>COUNTIF(C18:AG18,$AI$11)</f>
        <v>0</v>
      </c>
      <c r="AJ19" s="13"/>
      <c r="AK19" s="1516"/>
      <c r="AL19" s="13"/>
      <c r="AM19" t="s">
        <v>0</v>
      </c>
      <c r="AN19" s="245" t="s">
        <v>3</v>
      </c>
      <c r="AO19" s="245" t="s">
        <v>1</v>
      </c>
      <c r="AP19" s="245" t="s">
        <v>2</v>
      </c>
      <c r="AQ19" s="245" t="s">
        <v>54</v>
      </c>
      <c r="AR19" s="13"/>
      <c r="AS19" t="s">
        <v>10</v>
      </c>
      <c r="AT19" t="s">
        <v>11</v>
      </c>
      <c r="AU19" s="13"/>
      <c r="AV19" s="94" t="s">
        <v>84</v>
      </c>
      <c r="AW19" s="50">
        <v>0.33333333333333331</v>
      </c>
      <c r="AX19" s="50">
        <v>0.5</v>
      </c>
      <c r="AY19" s="51">
        <v>0</v>
      </c>
      <c r="AZ19" s="52">
        <f>IF(AX19-AW19=0,0,(AX19-AW19)-(AY19*TIMEVALUE("00:30")))</f>
        <v>0.16666666666666669</v>
      </c>
      <c r="BA19" s="53" t="s">
        <v>66</v>
      </c>
      <c r="BB19" s="54"/>
      <c r="BC19" s="55"/>
      <c r="BD19" s="56"/>
      <c r="BE19" s="56"/>
      <c r="BF19" s="56"/>
      <c r="BG19" s="56"/>
      <c r="BI19" s="290"/>
      <c r="BJ19" s="295"/>
      <c r="BK19" s="320" t="s">
        <v>112</v>
      </c>
      <c r="BL19" s="59" t="s">
        <v>353</v>
      </c>
      <c r="BM19" s="294"/>
      <c r="BN19" s="294"/>
      <c r="BO19" s="294"/>
      <c r="BP19" s="294"/>
      <c r="BQ19" s="294"/>
      <c r="BR19" s="294"/>
      <c r="BS19" s="322" t="s">
        <v>37</v>
      </c>
      <c r="BT19" s="292" t="s">
        <v>551</v>
      </c>
      <c r="BU19" s="292"/>
      <c r="BV19" s="294"/>
      <c r="BW19" s="294"/>
      <c r="BX19" s="313"/>
      <c r="BZ19" s="497"/>
      <c r="CA19" s="497"/>
      <c r="CB19" s="497"/>
      <c r="CC19" s="563"/>
      <c r="CD19" s="362" t="s">
        <v>723</v>
      </c>
      <c r="CE19" s="363">
        <f>DATE(CD4,12,25)</f>
        <v>44920</v>
      </c>
    </row>
    <row r="20" spans="1:83" ht="14.25" customHeight="1" thickBot="1" x14ac:dyDescent="0.3">
      <c r="A20" s="13"/>
      <c r="B20" s="696" t="s">
        <v>849</v>
      </c>
      <c r="C20" s="249" t="str">
        <f t="array" ref="C20">IF(OR(C$11=1,C$11=7),"",IFERROR(INDEX($AM$20:$AP$119,MATCH(1,(C$8&gt;=$AO$20:$AO$119)*($AP$20:$AP$119&gt;=C$8)*($AM$20:$AM$119=$B$20),0),2),""))</f>
        <v/>
      </c>
      <c r="D20" s="249" t="str">
        <f t="array" ref="D20">IF(OR(D$11=1,D$11=7),"",IFERROR(INDEX($AM$20:$AP$119,MATCH(1,(D$8&gt;=$AO$20:$AO$119)*($AP$20:$AP$119&gt;=D$8)*($AM$20:$AM$119=$B$20),0),2),""))</f>
        <v/>
      </c>
      <c r="E20" s="249" t="str">
        <f t="array" ref="E20">IF(OR(E$11=1,E$11=7),"",IFERROR(INDEX($AM$20:$AP$119,MATCH(1,(E$8&gt;=$AO$20:$AO$119)*($AP$20:$AP$119&gt;=E$8)*($AM$20:$AM$119=$B$20),0),2),""))</f>
        <v/>
      </c>
      <c r="F20" s="249" t="str">
        <f t="array" ref="F20">IF(OR(F$11=1,F$11=7),"",IFERROR(INDEX($AM$20:$AP$119,MATCH(1,(F$8&gt;=$AO$20:$AO$119)*($AP$20:$AP$119&gt;=F$8)*($AM$20:$AM$119=$B$20),0),2),""))</f>
        <v/>
      </c>
      <c r="G20" s="249" t="str">
        <f t="array" ref="G20">IF(OR(G$11=1,G$11=7),"",IFERROR(INDEX($AM$20:$AP$119,MATCH(1,(G$8&gt;=$AO$20:$AO$119)*($AP$20:$AP$119&gt;=G$8)*($AM$20:$AM$119=$B$20),0),2),""))</f>
        <v/>
      </c>
      <c r="H20" s="249" t="str">
        <f t="array" ref="H20">IF(OR(H$11=1,H$11=7),"",IFERROR(INDEX($AM$20:$AP$119,MATCH(1,(H$8&gt;=$AO$20:$AO$119)*($AP$20:$AP$119&gt;=H$8)*($AM$20:$AM$119=$B$20),0),2),""))</f>
        <v/>
      </c>
      <c r="I20" s="249" t="str">
        <f t="array" ref="I20">IF(OR(I$11=1,I$11=7),"",IFERROR(INDEX($AM$20:$AP$119,MATCH(1,(I$8&gt;=$AO$20:$AO$119)*($AP$20:$AP$119&gt;=I$8)*($AM$20:$AM$119=$B$20),0),2),""))</f>
        <v/>
      </c>
      <c r="J20" s="249" t="str">
        <f t="array" ref="J20">IF(OR(J$11=1,J$11=7),"",IFERROR(INDEX($AM$20:$AP$119,MATCH(1,(J$8&gt;=$AO$20:$AO$119)*($AP$20:$AP$119&gt;=J$8)*($AM$20:$AM$119=$B$20),0),2),""))</f>
        <v/>
      </c>
      <c r="K20" s="249" t="str">
        <f t="array" ref="K20">IF(OR(K$11=1,K$11=7),"",IFERROR(INDEX($AM$20:$AP$119,MATCH(1,(K$8&gt;=$AO$20:$AO$119)*($AP$20:$AP$119&gt;=K$8)*($AM$20:$AM$119=$B$20),0),2),""))</f>
        <v/>
      </c>
      <c r="L20" s="249" t="str">
        <f t="array" ref="L20">IF(OR(L$11=1,L$11=7),"",IFERROR(INDEX($AM$20:$AP$119,MATCH(1,(L$8&gt;=$AO$20:$AO$119)*($AP$20:$AP$119&gt;=L$8)*($AM$20:$AM$119=$B$20),0),2),""))</f>
        <v/>
      </c>
      <c r="M20" s="249" t="str">
        <f t="array" ref="M20">IF(OR(M$11=1,M$11=7),"",IFERROR(INDEX($AM$20:$AP$119,MATCH(1,(M$8&gt;=$AO$20:$AO$119)*($AP$20:$AP$119&gt;=M$8)*($AM$20:$AM$119=$B$20),0),2),""))</f>
        <v/>
      </c>
      <c r="N20" s="249" t="str">
        <f t="array" ref="N20">IF(OR(N$11=1,N$11=7),"",IFERROR(INDEX($AM$20:$AP$119,MATCH(1,(N$8&gt;=$AO$20:$AO$119)*($AP$20:$AP$119&gt;=N$8)*($AM$20:$AM$119=$B$20),0),2),""))</f>
        <v/>
      </c>
      <c r="O20" s="249" t="str">
        <f t="array" ref="O20">IF(OR(O$11=1,O$11=7),"",IFERROR(INDEX($AM$20:$AP$119,MATCH(1,(O$8&gt;=$AO$20:$AO$119)*($AP$20:$AP$119&gt;=O$8)*($AM$20:$AM$119=$B$20),0),2),""))</f>
        <v>Aap</v>
      </c>
      <c r="P20" s="249" t="str">
        <f t="array" ref="P20">IF(OR(P$11=1,P$11=7),"",IFERROR(INDEX($AM$20:$AP$119,MATCH(1,(P$8&gt;=$AO$20:$AO$119)*($AP$20:$AP$119&gt;=P$8)*($AM$20:$AM$119=$B$20),0),2),""))</f>
        <v>Aap</v>
      </c>
      <c r="Q20" s="249" t="str">
        <f t="array" ref="Q20">IF(OR(Q$11=1,Q$11=7),"",IFERROR(INDEX($AM$20:$AP$119,MATCH(1,(Q$8&gt;=$AO$20:$AO$119)*($AP$20:$AP$119&gt;=Q$8)*($AM$20:$AM$119=$B$20),0),2),""))</f>
        <v>Aap</v>
      </c>
      <c r="R20" s="249" t="str">
        <f t="array" ref="R20">IF(OR(R$11=1,R$11=7),"",IFERROR(INDEX($AM$20:$AP$119,MATCH(1,(R$8&gt;=$AO$20:$AO$119)*($AP$20:$AP$119&gt;=R$8)*($AM$20:$AM$119=$B$20),0),2),""))</f>
        <v>Aap</v>
      </c>
      <c r="S20" s="249" t="str">
        <f t="array" ref="S20">IF(OR(S$11=1,S$11=7),"",IFERROR(INDEX($AM$20:$AP$119,MATCH(1,(S$8&gt;=$AO$20:$AO$119)*($AP$20:$AP$119&gt;=S$8)*($AM$20:$AM$119=$B$20),0),2),""))</f>
        <v>Aap</v>
      </c>
      <c r="T20" s="249" t="str">
        <f t="array" ref="T20">IF(OR(T$11=1,T$11=7),"",IFERROR(INDEX($AM$20:$AP$119,MATCH(1,(T$8&gt;=$AO$20:$AO$119)*($AP$20:$AP$119&gt;=T$8)*($AM$20:$AM$119=$B$20),0),2),""))</f>
        <v/>
      </c>
      <c r="U20" s="249" t="str">
        <f t="array" ref="U20">IF(OR(U$11=1,U$11=7),"",IFERROR(INDEX($AM$20:$AP$119,MATCH(1,(U$8&gt;=$AO$20:$AO$119)*($AP$20:$AP$119&gt;=U$8)*($AM$20:$AM$119=$B$20),0),2),""))</f>
        <v/>
      </c>
      <c r="V20" s="249" t="str">
        <f t="array" ref="V20">IF(OR(V$11=1,V$11=7),"",IFERROR(INDEX($AM$20:$AP$119,MATCH(1,(V$8&gt;=$AO$20:$AO$119)*($AP$20:$AP$119&gt;=V$8)*($AM$20:$AM$119=$B$20),0),2),""))</f>
        <v>Aap</v>
      </c>
      <c r="W20" s="249" t="str">
        <f t="array" ref="W20">IF(OR(W$11=1,W$11=7),"",IFERROR(INDEX($AM$20:$AP$119,MATCH(1,(W$8&gt;=$AO$20:$AO$119)*($AP$20:$AP$119&gt;=W$8)*($AM$20:$AM$119=$B$20),0),2),""))</f>
        <v>Aap</v>
      </c>
      <c r="X20" s="249" t="str">
        <f t="array" ref="X20">IF(OR(X$11=1,X$11=7),"",IFERROR(INDEX($AM$20:$AP$119,MATCH(1,(X$8&gt;=$AO$20:$AO$119)*($AP$20:$AP$119&gt;=X$8)*($AM$20:$AM$119=$B$20),0),2),""))</f>
        <v>Aap</v>
      </c>
      <c r="Y20" s="249" t="str">
        <f t="array" ref="Y20">IF(OR(Y$11=1,Y$11=7),"",IFERROR(INDEX($AM$20:$AP$119,MATCH(1,(Y$8&gt;=$AO$20:$AO$119)*($AP$20:$AP$119&gt;=Y$8)*($AM$20:$AM$119=$B$20),0),2),""))</f>
        <v/>
      </c>
      <c r="Z20" s="249" t="str">
        <f t="array" ref="Z20">IF(OR(Z$11=1,Z$11=7),"",IFERROR(INDEX($AM$20:$AP$119,MATCH(1,(Z$8&gt;=$AO$20:$AO$119)*($AP$20:$AP$119&gt;=Z$8)*($AM$20:$AM$119=$B$20),0),2),""))</f>
        <v/>
      </c>
      <c r="AA20" s="249" t="str">
        <f t="array" ref="AA20">IF(OR(AA$11=1,AA$11=7),"",IFERROR(INDEX($AM$20:$AP$119,MATCH(1,(AA$8&gt;=$AO$20:$AO$119)*($AP$20:$AP$119&gt;=AA$8)*($AM$20:$AM$119=$B$20),0),2),""))</f>
        <v/>
      </c>
      <c r="AB20" s="249" t="str">
        <f t="array" ref="AB20">IF(OR(AB$11=1,AB$11=7),"",IFERROR(INDEX($AM$20:$AP$119,MATCH(1,(AB$8&gt;=$AO$20:$AO$119)*($AP$20:$AP$119&gt;=AB$8)*($AM$20:$AM$119=$B$20),0),2),""))</f>
        <v/>
      </c>
      <c r="AC20" s="249" t="str">
        <f t="array" ref="AC20">IF(OR(AC$11=1,AC$11=7),"",IFERROR(INDEX($AM$20:$AP$119,MATCH(1,(AC$8&gt;=$AO$20:$AO$119)*($AP$20:$AP$119&gt;=AC$8)*($AM$20:$AM$119=$B$20),0),2),""))</f>
        <v/>
      </c>
      <c r="AD20" s="249" t="str">
        <f t="array" ref="AD20">IF(OR(AD$11=1,AD$11=7),"",IFERROR(INDEX($AM$20:$AP$119,MATCH(1,(AD$8&gt;=$AO$20:$AO$119)*($AP$20:$AP$119&gt;=AD$8)*($AM$20:$AM$119=$B$20),0),2),""))</f>
        <v/>
      </c>
      <c r="AE20" s="249" t="str">
        <f t="array" ref="AE20">IF(OR(AE$11=1,AE$11=7),"",IFERROR(INDEX($AM$20:$AP$119,MATCH(1,(AE$8&gt;=$AO$20:$AO$119)*($AP$20:$AP$119&gt;=AE$8)*($AM$20:$AM$119=$B$20),0),2),""))</f>
        <v/>
      </c>
      <c r="AF20" s="249" t="str">
        <f t="array" ref="AF20">IF(OR(AF$11=1,AF$11=7),"",IFERROR(INDEX($AM$20:$AP$119,MATCH(1,(AF$8&gt;=$AO$20:$AO$119)*($AP$20:$AP$119&gt;=AF$8)*($AM$20:$AM$119=$B$20),0),2),""))</f>
        <v/>
      </c>
      <c r="AG20" s="249" t="str">
        <f t="array" ref="AG20">IF(OR(AG$11=1,AG$11=7),"",IFERROR(INDEX($AM$20:$AP$119,MATCH(1,(AG$8&gt;=$AO$20:$AO$119)*($AP$20:$AP$119&gt;=AG$8)*($AM$20:$AM$119=$B$20),0),2),""))</f>
        <v/>
      </c>
      <c r="AH20" s="256" t="str">
        <f>B20</f>
        <v>florence</v>
      </c>
      <c r="AI20" s="709">
        <f>COUNTIF(C20:AG20,$AI$10)</f>
        <v>0</v>
      </c>
      <c r="AJ20" s="13"/>
      <c r="AK20" s="696" t="s">
        <v>500</v>
      </c>
      <c r="AL20" s="13">
        <v>1</v>
      </c>
      <c r="AM20" s="11" t="s">
        <v>4</v>
      </c>
      <c r="AN20" s="630" t="s">
        <v>662</v>
      </c>
      <c r="AO20" s="31">
        <v>43862</v>
      </c>
      <c r="AP20" s="31">
        <v>43865</v>
      </c>
      <c r="AQ20" s="635">
        <f>Absences268101214242[[#This Row],[debut]]</f>
        <v>43862</v>
      </c>
      <c r="AR20" s="13"/>
      <c r="AS20" s="597" t="s">
        <v>369</v>
      </c>
      <c r="AT20" s="630" t="s">
        <v>662</v>
      </c>
      <c r="AU20" s="13"/>
      <c r="AV20" s="70"/>
      <c r="AW20" s="57"/>
      <c r="AX20" s="57"/>
      <c r="AY20" s="57"/>
      <c r="AZ20" s="54"/>
      <c r="BA20" s="54"/>
      <c r="BB20" s="54"/>
      <c r="BC20" s="55"/>
      <c r="BD20" s="56"/>
      <c r="BE20" s="56"/>
      <c r="BF20" s="56"/>
      <c r="BG20" s="56"/>
      <c r="BI20" s="290"/>
      <c r="BJ20" s="295"/>
      <c r="BK20" s="323" t="s">
        <v>356</v>
      </c>
      <c r="BL20" s="315" t="s">
        <v>357</v>
      </c>
      <c r="BM20" s="294"/>
      <c r="BN20" s="294"/>
      <c r="BO20" s="294"/>
      <c r="BP20" s="294"/>
      <c r="BQ20" s="294"/>
      <c r="BR20" s="294"/>
      <c r="BS20" s="315"/>
      <c r="BT20" s="294"/>
      <c r="BU20" s="292"/>
      <c r="BV20" s="294"/>
      <c r="BW20" s="294"/>
      <c r="BX20" s="313"/>
      <c r="BZ20" s="1490">
        <f>BZ4+1</f>
        <v>2021</v>
      </c>
      <c r="CA20" s="1491"/>
      <c r="CB20" s="1492"/>
      <c r="CC20" s="563"/>
      <c r="CD20" s="369" t="s">
        <v>721</v>
      </c>
      <c r="CE20" s="370">
        <f>DATE(CD4+1,1,1)</f>
        <v>44927</v>
      </c>
    </row>
    <row r="21" spans="1:83" ht="19.5" customHeight="1" thickBot="1" x14ac:dyDescent="0.3">
      <c r="A21" s="13"/>
      <c r="B21" s="611">
        <f>COUNTA(C21:AG21)</f>
        <v>0</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706">
        <f>COUNTIF(C20:AG20,$AH$11)</f>
        <v>0</v>
      </c>
      <c r="AI21" s="714">
        <f>COUNTIF(C20:AG20,$AI$11)</f>
        <v>0</v>
      </c>
      <c r="AJ21" s="13"/>
      <c r="AK21" s="697" t="s">
        <v>4</v>
      </c>
      <c r="AL21" s="13">
        <v>2</v>
      </c>
      <c r="AM21" s="11" t="s">
        <v>5</v>
      </c>
      <c r="AN21" s="631" t="s">
        <v>800</v>
      </c>
      <c r="AO21" s="31">
        <v>43897</v>
      </c>
      <c r="AP21" s="31">
        <v>43902</v>
      </c>
      <c r="AQ21" s="635">
        <f>Absences268101214242[[#This Row],[debut]]</f>
        <v>43897</v>
      </c>
      <c r="AR21" s="13"/>
      <c r="AS21" s="608" t="s">
        <v>370</v>
      </c>
      <c r="AT21" s="631" t="s">
        <v>800</v>
      </c>
      <c r="AU21" s="13"/>
      <c r="AV21" s="94" t="s">
        <v>85</v>
      </c>
      <c r="AW21" s="50">
        <v>0.41666666666666669</v>
      </c>
      <c r="AX21" s="50">
        <v>0.60416666666666663</v>
      </c>
      <c r="AY21" s="51">
        <v>1</v>
      </c>
      <c r="AZ21" s="52">
        <f>IF(AX21-AW21=0,0,(AX21-AW21)-(AY21*TIMEVALUE("00:30")))</f>
        <v>0.1666666666666666</v>
      </c>
      <c r="BA21" s="53" t="s">
        <v>67</v>
      </c>
      <c r="BB21" s="54"/>
      <c r="BC21" s="55"/>
      <c r="BD21" s="56"/>
      <c r="BE21" s="56"/>
      <c r="BF21" s="56"/>
      <c r="BG21" s="56"/>
      <c r="BI21" s="290"/>
      <c r="BJ21" s="295"/>
      <c r="BK21" s="323" t="s">
        <v>358</v>
      </c>
      <c r="BL21" s="315" t="s">
        <v>359</v>
      </c>
      <c r="BM21" s="294"/>
      <c r="BN21" s="294"/>
      <c r="BO21" s="294"/>
      <c r="BP21" s="324"/>
      <c r="BQ21" s="324"/>
      <c r="BR21" s="292"/>
      <c r="BS21" s="325" t="s">
        <v>664</v>
      </c>
      <c r="BT21" s="292"/>
      <c r="BU21" s="292"/>
      <c r="BV21" s="294"/>
      <c r="BW21" s="294"/>
      <c r="BX21" s="313"/>
      <c r="BZ21" s="359">
        <f>CA21</f>
        <v>44197</v>
      </c>
      <c r="CA21" s="360">
        <f>DATE(BZ4+1,1,1)</f>
        <v>44197</v>
      </c>
      <c r="CB21" s="361" t="s">
        <v>721</v>
      </c>
      <c r="CC21" s="563"/>
      <c r="CD21" s="563"/>
      <c r="CE21" s="563"/>
    </row>
    <row r="22" spans="1:83" ht="14.25" customHeight="1" thickBot="1" x14ac:dyDescent="0.3">
      <c r="A22" s="13"/>
      <c r="B22" s="697" t="s">
        <v>856</v>
      </c>
      <c r="C22" s="249" t="str">
        <f t="array" ref="C22">IF(OR(C$11=1,C$11=7),"",IFERROR(INDEX($AM$20:$AP$119,MATCH(1,(C$8&gt;=$AO$20:$AO$119)*($AP$20:$AP$119&gt;=C$8)*($AM$20:$AM$119=$B$22),0),2),""))</f>
        <v/>
      </c>
      <c r="D22" s="249" t="str">
        <f t="array" ref="D22">IF(OR(D$11=1,D$11=7),"",IFERROR(INDEX($AM$20:$AP$119,MATCH(1,(D$8&gt;=$AO$20:$AO$119)*($AP$20:$AP$119&gt;=D$8)*($AM$20:$AM$119=$B$22),0),2),""))</f>
        <v/>
      </c>
      <c r="E22" s="249" t="str">
        <f t="array" ref="E22">IF(OR(E$11=1,E$11=7),"",IFERROR(INDEX($AM$20:$AP$119,MATCH(1,(E$8&gt;=$AO$20:$AO$119)*($AP$20:$AP$119&gt;=E$8)*($AM$20:$AM$119=$B$22),0),2),""))</f>
        <v/>
      </c>
      <c r="F22" s="249" t="str">
        <f t="array" ref="F22">IF(OR(F$11=1,F$11=7),"",IFERROR(INDEX($AM$20:$AP$119,MATCH(1,(F$8&gt;=$AO$20:$AO$119)*($AP$20:$AP$119&gt;=F$8)*($AM$20:$AM$119=$B$22),0),2),""))</f>
        <v/>
      </c>
      <c r="G22" s="249" t="str">
        <f t="array" ref="G22">IF(OR(G$11=1,G$11=7),"",IFERROR(INDEX($AM$20:$AP$119,MATCH(1,(G$8&gt;=$AO$20:$AO$119)*($AP$20:$AP$119&gt;=G$8)*($AM$20:$AM$119=$B$22),0),2),""))</f>
        <v/>
      </c>
      <c r="H22" s="249" t="str">
        <f t="array" ref="H22">IF(OR(H$11=1,H$11=7),"",IFERROR(INDEX($AM$20:$AP$119,MATCH(1,(H$8&gt;=$AO$20:$AO$119)*($AP$20:$AP$119&gt;=H$8)*($AM$20:$AM$119=$B$22),0),2),""))</f>
        <v/>
      </c>
      <c r="I22" s="249" t="str">
        <f t="array" ref="I22">IF(OR(I$11=1,I$11=7),"",IFERROR(INDEX($AM$20:$AP$119,MATCH(1,(I$8&gt;=$AO$20:$AO$119)*($AP$20:$AP$119&gt;=I$8)*($AM$20:$AM$119=$B$22),0),2),""))</f>
        <v>M</v>
      </c>
      <c r="J22" s="249" t="str">
        <f t="array" ref="J22">IF(OR(J$11=1,J$11=7),"",IFERROR(INDEX($AM$20:$AP$119,MATCH(1,(J$8&gt;=$AO$20:$AO$119)*($AP$20:$AP$119&gt;=J$8)*($AM$20:$AM$119=$B$22),0),2),""))</f>
        <v>M</v>
      </c>
      <c r="K22" s="249" t="str">
        <f t="array" ref="K22">IF(OR(K$11=1,K$11=7),"",IFERROR(INDEX($AM$20:$AP$119,MATCH(1,(K$8&gt;=$AO$20:$AO$119)*($AP$20:$AP$119&gt;=K$8)*($AM$20:$AM$119=$B$22),0),2),""))</f>
        <v>M</v>
      </c>
      <c r="L22" s="249" t="str">
        <f t="array" ref="L22">IF(OR(L$11=1,L$11=7),"",IFERROR(INDEX($AM$20:$AP$119,MATCH(1,(L$8&gt;=$AO$20:$AO$119)*($AP$20:$AP$119&gt;=L$8)*($AM$20:$AM$119=$B$22),0),2),""))</f>
        <v>M</v>
      </c>
      <c r="M22" s="249" t="str">
        <f t="array" ref="M22">IF(OR(M$11=1,M$11=7),"",IFERROR(INDEX($AM$20:$AP$119,MATCH(1,(M$8&gt;=$AO$20:$AO$119)*($AP$20:$AP$119&gt;=M$8)*($AM$20:$AM$119=$B$22),0),2),""))</f>
        <v/>
      </c>
      <c r="N22" s="249" t="str">
        <f t="array" ref="N22">IF(OR(N$11=1,N$11=7),"",IFERROR(INDEX($AM$20:$AP$119,MATCH(1,(N$8&gt;=$AO$20:$AO$119)*($AP$20:$AP$119&gt;=N$8)*($AM$20:$AM$119=$B$22),0),2),""))</f>
        <v/>
      </c>
      <c r="O22" s="249" t="str">
        <f t="array" ref="O22">IF(OR(O$11=1,O$11=7),"",IFERROR(INDEX($AM$20:$AP$119,MATCH(1,(O$8&gt;=$AO$20:$AO$119)*($AP$20:$AP$119&gt;=O$8)*($AM$20:$AM$119=$B$22),0),2),""))</f>
        <v/>
      </c>
      <c r="P22" s="249" t="str">
        <f t="array" ref="P22">IF(OR(P$11=1,P$11=7),"",IFERROR(INDEX($AM$20:$AP$119,MATCH(1,(P$8&gt;=$AO$20:$AO$119)*($AP$20:$AP$119&gt;=P$8)*($AM$20:$AM$119=$B$22),0),2),""))</f>
        <v/>
      </c>
      <c r="Q22" s="249" t="str">
        <f t="array" ref="Q22">IF(OR(Q$11=1,Q$11=7),"",IFERROR(INDEX($AM$20:$AP$119,MATCH(1,(Q$8&gt;=$AO$20:$AO$119)*($AP$20:$AP$119&gt;=Q$8)*($AM$20:$AM$119=$B$22),0),2),""))</f>
        <v/>
      </c>
      <c r="R22" s="249" t="str">
        <f t="array" ref="R22">IF(OR(R$11=1,R$11=7),"",IFERROR(INDEX($AM$20:$AP$119,MATCH(1,(R$8&gt;=$AO$20:$AO$119)*($AP$20:$AP$119&gt;=R$8)*($AM$20:$AM$119=$B$22),0),2),""))</f>
        <v/>
      </c>
      <c r="S22" s="249" t="str">
        <f t="array" ref="S22">IF(OR(S$11=1,S$11=7),"",IFERROR(INDEX($AM$20:$AP$119,MATCH(1,(S$8&gt;=$AO$20:$AO$119)*($AP$20:$AP$119&gt;=S$8)*($AM$20:$AM$119=$B$22),0),2),""))</f>
        <v/>
      </c>
      <c r="T22" s="249" t="str">
        <f t="array" ref="T22">IF(OR(T$11=1,T$11=7),"",IFERROR(INDEX($AM$20:$AP$119,MATCH(1,(T$8&gt;=$AO$20:$AO$119)*($AP$20:$AP$119&gt;=T$8)*($AM$20:$AM$119=$B$22),0),2),""))</f>
        <v/>
      </c>
      <c r="U22" s="249" t="str">
        <f t="array" ref="U22">IF(OR(U$11=1,U$11=7),"",IFERROR(INDEX($AM$20:$AP$119,MATCH(1,(U$8&gt;=$AO$20:$AO$119)*($AP$20:$AP$119&gt;=U$8)*($AM$20:$AM$119=$B$22),0),2),""))</f>
        <v/>
      </c>
      <c r="V22" s="249" t="str">
        <f t="array" ref="V22">IF(OR(V$11=1,V$11=7),"",IFERROR(INDEX($AM$20:$AP$119,MATCH(1,(V$8&gt;=$AO$20:$AO$119)*($AP$20:$AP$119&gt;=V$8)*($AM$20:$AM$119=$B$22),0),2),""))</f>
        <v/>
      </c>
      <c r="W22" s="249" t="str">
        <f t="array" ref="W22">IF(OR(W$11=1,W$11=7),"",IFERROR(INDEX($AM$20:$AP$119,MATCH(1,(W$8&gt;=$AO$20:$AO$119)*($AP$20:$AP$119&gt;=W$8)*($AM$20:$AM$119=$B$22),0),2),""))</f>
        <v/>
      </c>
      <c r="X22" s="249" t="str">
        <f t="array" ref="X22">IF(OR(X$11=1,X$11=7),"",IFERROR(INDEX($AM$20:$AP$119,MATCH(1,(X$8&gt;=$AO$20:$AO$119)*($AP$20:$AP$119&gt;=X$8)*($AM$20:$AM$119=$B$22),0),2),""))</f>
        <v/>
      </c>
      <c r="Y22" s="249" t="str">
        <f t="array" ref="Y22">IF(OR(Y$11=1,Y$11=7),"",IFERROR(INDEX($AM$20:$AP$119,MATCH(1,(Y$8&gt;=$AO$20:$AO$119)*($AP$20:$AP$119&gt;=Y$8)*($AM$20:$AM$119=$B$22),0),2),""))</f>
        <v/>
      </c>
      <c r="Z22" s="249" t="str">
        <f t="array" ref="Z22">IF(OR(Z$11=1,Z$11=7),"",IFERROR(INDEX($AM$20:$AP$119,MATCH(1,(Z$8&gt;=$AO$20:$AO$119)*($AP$20:$AP$119&gt;=Z$8)*($AM$20:$AM$119=$B$22),0),2),""))</f>
        <v/>
      </c>
      <c r="AA22" s="249" t="str">
        <f t="array" ref="AA22">IF(OR(AA$11=1,AA$11=7),"",IFERROR(INDEX($AM$20:$AP$119,MATCH(1,(AA$8&gt;=$AO$20:$AO$119)*($AP$20:$AP$119&gt;=AA$8)*($AM$20:$AM$119=$B$22),0),2),""))</f>
        <v/>
      </c>
      <c r="AB22" s="249" t="str">
        <f t="array" ref="AB22">IF(OR(AB$11=1,AB$11=7),"",IFERROR(INDEX($AM$20:$AP$119,MATCH(1,(AB$8&gt;=$AO$20:$AO$119)*($AP$20:$AP$119&gt;=AB$8)*($AM$20:$AM$119=$B$22),0),2),""))</f>
        <v/>
      </c>
      <c r="AC22" s="249" t="str">
        <f t="array" ref="AC22">IF(OR(AC$11=1,AC$11=7),"",IFERROR(INDEX($AM$20:$AP$119,MATCH(1,(AC$8&gt;=$AO$20:$AO$119)*($AP$20:$AP$119&gt;=AC$8)*($AM$20:$AM$119=$B$22),0),2),""))</f>
        <v/>
      </c>
      <c r="AD22" s="249" t="str">
        <f t="array" ref="AD22">IF(OR(AD$11=1,AD$11=7),"",IFERROR(INDEX($AM$20:$AP$119,MATCH(1,(AD$8&gt;=$AO$20:$AO$119)*($AP$20:$AP$119&gt;=AD$8)*($AM$20:$AM$119=$B$22),0),2),""))</f>
        <v/>
      </c>
      <c r="AE22" s="249" t="str">
        <f t="array" ref="AE22">IF(OR(AE$11=1,AE$11=7),"",IFERROR(INDEX($AM$20:$AP$119,MATCH(1,(AE$8&gt;=$AO$20:$AO$119)*($AP$20:$AP$119&gt;=AE$8)*($AM$20:$AM$119=$B$22),0),2),""))</f>
        <v/>
      </c>
      <c r="AF22" s="249" t="str">
        <f t="array" ref="AF22">IF(OR(AF$11=1,AF$11=7),"",IFERROR(INDEX($AM$20:$AP$119,MATCH(1,(AF$8&gt;=$AO$20:$AO$119)*($AP$20:$AP$119&gt;=AF$8)*($AM$20:$AM$119=$B$22),0),2),""))</f>
        <v/>
      </c>
      <c r="AG22" s="249" t="str">
        <f t="array" ref="AG22">IF(OR(AG$11=1,AG$11=7),"",IFERROR(INDEX($AM$20:$AP$119,MATCH(1,(AG$8&gt;=$AO$20:$AO$119)*($AP$20:$AP$119&gt;=AG$8)*($AM$20:$AM$119=$B$22),0),2),""))</f>
        <v/>
      </c>
      <c r="AH22" s="256" t="str">
        <f>B22</f>
        <v>isabelle</v>
      </c>
      <c r="AI22" s="709">
        <f>COUNTIF(C22:AG22,$AI$10)</f>
        <v>0</v>
      </c>
      <c r="AJ22" s="13"/>
      <c r="AK22" s="696" t="s">
        <v>855</v>
      </c>
      <c r="AL22" s="13">
        <v>3</v>
      </c>
      <c r="AM22" s="11" t="s">
        <v>5</v>
      </c>
      <c r="AN22" s="632" t="s">
        <v>7</v>
      </c>
      <c r="AO22" s="31">
        <v>43838</v>
      </c>
      <c r="AP22" s="31">
        <v>43845</v>
      </c>
      <c r="AQ22" s="635">
        <f>Absences268101214242[[#This Row],[debut]]</f>
        <v>43838</v>
      </c>
      <c r="AR22" s="13"/>
      <c r="AS22" s="597" t="s">
        <v>374</v>
      </c>
      <c r="AT22" s="632" t="s">
        <v>7</v>
      </c>
      <c r="AU22" s="13"/>
      <c r="AV22" s="70"/>
      <c r="AW22" s="57"/>
      <c r="AX22" s="57"/>
      <c r="AY22" s="57"/>
      <c r="AZ22" s="54"/>
      <c r="BA22" s="54"/>
      <c r="BB22" s="54"/>
      <c r="BC22" s="55"/>
      <c r="BD22" s="56"/>
      <c r="BE22" s="56"/>
      <c r="BF22" s="56"/>
      <c r="BG22" s="56"/>
      <c r="BI22" s="290"/>
      <c r="BJ22" s="295"/>
      <c r="BK22" s="326" t="s">
        <v>542</v>
      </c>
      <c r="BL22" s="315" t="s">
        <v>543</v>
      </c>
      <c r="BM22" s="294"/>
      <c r="BN22" s="294"/>
      <c r="BO22" s="294"/>
      <c r="BP22" s="292"/>
      <c r="BQ22" s="292"/>
      <c r="BR22" s="292"/>
      <c r="BS22" s="327" t="s">
        <v>546</v>
      </c>
      <c r="BT22" s="315" t="s">
        <v>547</v>
      </c>
      <c r="BU22" s="292"/>
      <c r="BV22" s="294"/>
      <c r="BW22" s="294"/>
      <c r="BX22" s="313"/>
      <c r="BZ22" s="359">
        <f t="shared" ref="BZ22:BZ33" si="5">CA22</f>
        <v>44290</v>
      </c>
      <c r="CA22" s="360">
        <f>DATE(BZ4+1,3,29.56+0.979*MOD(204-11*MOD(BZ4+1,19),30)-WEEKDAY(DATE(BZ4+1,3,28.56+0.979*MOD(204-11*MOD(BZ4+1,19),30))))</f>
        <v>44290</v>
      </c>
      <c r="CB22" s="361" t="s">
        <v>585</v>
      </c>
      <c r="CC22" s="563"/>
      <c r="CD22" s="563"/>
      <c r="CE22" s="563"/>
    </row>
    <row r="23" spans="1:83" ht="20.25" thickTop="1" thickBot="1" x14ac:dyDescent="0.3">
      <c r="A23" s="13"/>
      <c r="B23" s="611">
        <f>COUNTA(C23:AG23)</f>
        <v>0</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706">
        <f>COUNTIF(C22:AG22,$AH$11)</f>
        <v>0</v>
      </c>
      <c r="AI23" s="714">
        <f>COUNTIF(C22:AG22,$AI$11)</f>
        <v>0</v>
      </c>
      <c r="AJ23" s="13"/>
      <c r="AK23" s="697" t="s">
        <v>499</v>
      </c>
      <c r="AL23" s="13">
        <v>4</v>
      </c>
      <c r="AM23" s="11" t="s">
        <v>4</v>
      </c>
      <c r="AN23" s="628" t="s">
        <v>8</v>
      </c>
      <c r="AO23" s="32">
        <v>43897</v>
      </c>
      <c r="AP23" s="32">
        <v>43902</v>
      </c>
      <c r="AQ23" s="635">
        <f>Absences268101214242[[#This Row],[debut]]</f>
        <v>43897</v>
      </c>
      <c r="AR23" s="13"/>
      <c r="AS23" s="609" t="s">
        <v>367</v>
      </c>
      <c r="AT23" s="628" t="s">
        <v>8</v>
      </c>
      <c r="AU23" s="13"/>
      <c r="AV23" s="94" t="s">
        <v>86</v>
      </c>
      <c r="AW23" s="50">
        <v>0.27083333333333331</v>
      </c>
      <c r="AX23" s="50">
        <v>0.625</v>
      </c>
      <c r="AY23" s="51">
        <v>1</v>
      </c>
      <c r="AZ23" s="52">
        <f>IF(AX23-AW23=0,0,(AX23-AW23)-(AY23*TIMEVALUE("00:30")))</f>
        <v>0.33333333333333337</v>
      </c>
      <c r="BA23" s="53" t="s">
        <v>68</v>
      </c>
      <c r="BB23" s="54"/>
      <c r="BC23" s="55"/>
      <c r="BD23" s="56"/>
      <c r="BE23" s="56"/>
      <c r="BF23" s="56"/>
      <c r="BG23" s="56"/>
      <c r="BI23" s="290"/>
      <c r="BJ23" s="295"/>
      <c r="BK23" s="328" t="s">
        <v>362</v>
      </c>
      <c r="BL23" s="315" t="s">
        <v>363</v>
      </c>
      <c r="BM23" s="294"/>
      <c r="BN23" s="294"/>
      <c r="BO23" s="294"/>
      <c r="BP23" s="292"/>
      <c r="BQ23" s="292"/>
      <c r="BR23" s="292"/>
      <c r="BS23" s="329" t="s">
        <v>665</v>
      </c>
      <c r="BT23" s="330"/>
      <c r="BU23" s="292"/>
      <c r="BV23" s="294"/>
      <c r="BW23" s="331"/>
      <c r="BX23" s="313"/>
      <c r="BZ23" s="359">
        <f t="shared" si="5"/>
        <v>44291</v>
      </c>
      <c r="CA23" s="522">
        <f>CA22+1</f>
        <v>44291</v>
      </c>
      <c r="CB23" s="361" t="s">
        <v>725</v>
      </c>
      <c r="CC23" s="563"/>
      <c r="CD23" s="563"/>
      <c r="CE23" s="563"/>
    </row>
    <row r="24" spans="1:83" ht="14.25" customHeight="1" x14ac:dyDescent="0.25">
      <c r="A24" s="13"/>
      <c r="B24" s="696" t="s">
        <v>852</v>
      </c>
      <c r="C24" s="249" t="str">
        <f t="array" ref="C24">IF(OR(C$11=1,C$11=7),"",IFERROR(INDEX($AM$20:$AP$119,MATCH(1,(C$8&gt;=$AO$20:$AO$119)*($AP$20:$AP$119&gt;=C$8)*($AM$20:$AM$119=$B$24),0),2),""))</f>
        <v/>
      </c>
      <c r="D24" s="249" t="str">
        <f t="array" ref="D24">IF(OR(D$11=1,D$11=7),"",IFERROR(INDEX($AM$20:$AP$119,MATCH(1,(D$8&gt;=$AO$20:$AO$119)*($AP$20:$AP$119&gt;=D$8)*($AM$20:$AM$119=$B$24),0),2),""))</f>
        <v/>
      </c>
      <c r="E24" s="249" t="str">
        <f t="array" ref="E24">IF(OR(E$11=1,E$11=7),"",IFERROR(INDEX($AM$20:$AP$119,MATCH(1,(E$8&gt;=$AO$20:$AO$119)*($AP$20:$AP$119&gt;=E$8)*($AM$20:$AM$119=$B$24),0),2),""))</f>
        <v/>
      </c>
      <c r="F24" s="249" t="str">
        <f t="array" ref="F24">IF(OR(F$11=1,F$11=7),"",IFERROR(INDEX($AM$20:$AP$119,MATCH(1,(F$8&gt;=$AO$20:$AO$119)*($AP$20:$AP$119&gt;=F$8)*($AM$20:$AM$119=$B$24),0),2),""))</f>
        <v/>
      </c>
      <c r="G24" s="249" t="str">
        <f t="array" ref="G24">IF(OR(G$11=1,G$11=7),"",IFERROR(INDEX($AM$20:$AP$119,MATCH(1,(G$8&gt;=$AO$20:$AO$119)*($AP$20:$AP$119&gt;=G$8)*($AM$20:$AM$119=$B$24),0),2),""))</f>
        <v/>
      </c>
      <c r="H24" s="249" t="str">
        <f t="array" ref="H24">IF(OR(H$11=1,H$11=7),"",IFERROR(INDEX($AM$20:$AP$119,MATCH(1,(H$8&gt;=$AO$20:$AO$119)*($AP$20:$AP$119&gt;=H$8)*($AM$20:$AM$119=$B$24),0),2),""))</f>
        <v/>
      </c>
      <c r="I24" s="249" t="str">
        <f t="array" ref="I24">IF(OR(I$11=1,I$11=7),"",IFERROR(INDEX($AM$20:$AP$119,MATCH(1,(I$8&gt;=$AO$20:$AO$119)*($AP$20:$AP$119&gt;=I$8)*($AM$20:$AM$119=$B$24),0),2),""))</f>
        <v/>
      </c>
      <c r="J24" s="249" t="str">
        <f t="array" ref="J24">IF(OR(J$11=1,J$11=7),"",IFERROR(INDEX($AM$20:$AP$119,MATCH(1,(J$8&gt;=$AO$20:$AO$119)*($AP$20:$AP$119&gt;=J$8)*($AM$20:$AM$119=$B$24),0),2),""))</f>
        <v/>
      </c>
      <c r="K24" s="249" t="str">
        <f t="array" ref="K24">IF(OR(K$11=1,K$11=7),"",IFERROR(INDEX($AM$20:$AP$119,MATCH(1,(K$8&gt;=$AO$20:$AO$119)*($AP$20:$AP$119&gt;=K$8)*($AM$20:$AM$119=$B$24),0),2),""))</f>
        <v/>
      </c>
      <c r="L24" s="249" t="str">
        <f t="array" ref="L24">IF(OR(L$11=1,L$11=7),"",IFERROR(INDEX($AM$20:$AP$119,MATCH(1,(L$8&gt;=$AO$20:$AO$119)*($AP$20:$AP$119&gt;=L$8)*($AM$20:$AM$119=$B$24),0),2),""))</f>
        <v/>
      </c>
      <c r="M24" s="249" t="str">
        <f t="array" ref="M24">IF(OR(M$11=1,M$11=7),"",IFERROR(INDEX($AM$20:$AP$119,MATCH(1,(M$8&gt;=$AO$20:$AO$119)*($AP$20:$AP$119&gt;=M$8)*($AM$20:$AM$119=$B$24),0),2),""))</f>
        <v/>
      </c>
      <c r="N24" s="249" t="str">
        <f t="array" ref="N24">IF(OR(N$11=1,N$11=7),"",IFERROR(INDEX($AM$20:$AP$119,MATCH(1,(N$8&gt;=$AO$20:$AO$119)*($AP$20:$AP$119&gt;=N$8)*($AM$20:$AM$119=$B$24),0),2),""))</f>
        <v/>
      </c>
      <c r="O24" s="249" t="str">
        <f t="array" ref="O24">IF(OR(O$11=1,O$11=7),"",IFERROR(INDEX($AM$20:$AP$119,MATCH(1,(O$8&gt;=$AO$20:$AO$119)*($AP$20:$AP$119&gt;=O$8)*($AM$20:$AM$119=$B$24),0),2),""))</f>
        <v/>
      </c>
      <c r="P24" s="249" t="str">
        <f t="array" ref="P24">IF(OR(P$11=1,P$11=7),"",IFERROR(INDEX($AM$20:$AP$119,MATCH(1,(P$8&gt;=$AO$20:$AO$119)*($AP$20:$AP$119&gt;=P$8)*($AM$20:$AM$119=$B$24),0),2),""))</f>
        <v/>
      </c>
      <c r="Q24" s="249" t="str">
        <f t="array" ref="Q24">IF(OR(Q$11=1,Q$11=7),"",IFERROR(INDEX($AM$20:$AP$119,MATCH(1,(Q$8&gt;=$AO$20:$AO$119)*($AP$20:$AP$119&gt;=Q$8)*($AM$20:$AM$119=$B$24),0),2),""))</f>
        <v/>
      </c>
      <c r="R24" s="249" t="str">
        <f t="array" ref="R24">IF(OR(R$11=1,R$11=7),"",IFERROR(INDEX($AM$20:$AP$119,MATCH(1,(R$8&gt;=$AO$20:$AO$119)*($AP$20:$AP$119&gt;=R$8)*($AM$20:$AM$119=$B$24),0),2),""))</f>
        <v/>
      </c>
      <c r="S24" s="249" t="str">
        <f t="array" ref="S24">IF(OR(S$11=1,S$11=7),"",IFERROR(INDEX($AM$20:$AP$119,MATCH(1,(S$8&gt;=$AO$20:$AO$119)*($AP$20:$AP$119&gt;=S$8)*($AM$20:$AM$119=$B$24),0),2),""))</f>
        <v/>
      </c>
      <c r="T24" s="249" t="str">
        <f t="array" ref="T24">IF(OR(T$11=1,T$11=7),"",IFERROR(INDEX($AM$20:$AP$119,MATCH(1,(T$8&gt;=$AO$20:$AO$119)*($AP$20:$AP$119&gt;=T$8)*($AM$20:$AM$119=$B$24),0),2),""))</f>
        <v/>
      </c>
      <c r="U24" s="249" t="str">
        <f t="array" ref="U24">IF(OR(U$11=1,U$11=7),"",IFERROR(INDEX($AM$20:$AP$119,MATCH(1,(U$8&gt;=$AO$20:$AO$119)*($AP$20:$AP$119&gt;=U$8)*($AM$20:$AM$119=$B$24),0),2),""))</f>
        <v/>
      </c>
      <c r="V24" s="249" t="str">
        <f t="array" ref="V24">IF(OR(V$11=1,V$11=7),"",IFERROR(INDEX($AM$20:$AP$119,MATCH(1,(V$8&gt;=$AO$20:$AO$119)*($AP$20:$AP$119&gt;=V$8)*($AM$20:$AM$119=$B$24),0),2),""))</f>
        <v/>
      </c>
      <c r="W24" s="249" t="str">
        <f t="array" ref="W24">IF(OR(W$11=1,W$11=7),"",IFERROR(INDEX($AM$20:$AP$119,MATCH(1,(W$8&gt;=$AO$20:$AO$119)*($AP$20:$AP$119&gt;=W$8)*($AM$20:$AM$119=$B$24),0),2),""))</f>
        <v/>
      </c>
      <c r="X24" s="249" t="str">
        <f t="array" ref="X24">IF(OR(X$11=1,X$11=7),"",IFERROR(INDEX($AM$20:$AP$119,MATCH(1,(X$8&gt;=$AO$20:$AO$119)*($AP$20:$AP$119&gt;=X$8)*($AM$20:$AM$119=$B$24),0),2),""))</f>
        <v/>
      </c>
      <c r="Y24" s="249" t="str">
        <f t="array" ref="Y24">IF(OR(Y$11=1,Y$11=7),"",IFERROR(INDEX($AM$20:$AP$119,MATCH(1,(Y$8&gt;=$AO$20:$AO$119)*($AP$20:$AP$119&gt;=Y$8)*($AM$20:$AM$119=$B$24),0),2),""))</f>
        <v/>
      </c>
      <c r="Z24" s="249" t="str">
        <f t="array" ref="Z24">IF(OR(Z$11=1,Z$11=7),"",IFERROR(INDEX($AM$20:$AP$119,MATCH(1,(Z$8&gt;=$AO$20:$AO$119)*($AP$20:$AP$119&gt;=Z$8)*($AM$20:$AM$119=$B$24),0),2),""))</f>
        <v/>
      </c>
      <c r="AA24" s="249" t="str">
        <f t="array" ref="AA24">IF(OR(AA$11=1,AA$11=7),"",IFERROR(INDEX($AM$20:$AP$119,MATCH(1,(AA$8&gt;=$AO$20:$AO$119)*($AP$20:$AP$119&gt;=AA$8)*($AM$20:$AM$119=$B$24),0),2),""))</f>
        <v/>
      </c>
      <c r="AB24" s="249" t="str">
        <f t="array" ref="AB24">IF(OR(AB$11=1,AB$11=7),"",IFERROR(INDEX($AM$20:$AP$119,MATCH(1,(AB$8&gt;=$AO$20:$AO$119)*($AP$20:$AP$119&gt;=AB$8)*($AM$20:$AM$119=$B$24),0),2),""))</f>
        <v/>
      </c>
      <c r="AC24" s="249" t="str">
        <f t="array" ref="AC24">IF(OR(AC$11=1,AC$11=7),"",IFERROR(INDEX($AM$20:$AP$119,MATCH(1,(AC$8&gt;=$AO$20:$AO$119)*($AP$20:$AP$119&gt;=AC$8)*($AM$20:$AM$119=$B$24),0),2),""))</f>
        <v/>
      </c>
      <c r="AD24" s="249" t="str">
        <f t="array" ref="AD24">IF(OR(AD$11=1,AD$11=7),"",IFERROR(INDEX($AM$20:$AP$119,MATCH(1,(AD$8&gt;=$AO$20:$AO$119)*($AP$20:$AP$119&gt;=AD$8)*($AM$20:$AM$119=$B$24),0),2),""))</f>
        <v/>
      </c>
      <c r="AE24" s="249" t="str">
        <f t="array" ref="AE24">IF(OR(AE$11=1,AE$11=7),"",IFERROR(INDEX($AM$20:$AP$119,MATCH(1,(AE$8&gt;=$AO$20:$AO$119)*($AP$20:$AP$119&gt;=AE$8)*($AM$20:$AM$119=$B$24),0),2),""))</f>
        <v/>
      </c>
      <c r="AF24" s="249" t="str">
        <f t="array" ref="AF24">IF(OR(AF$11=1,AF$11=7),"",IFERROR(INDEX($AM$20:$AP$119,MATCH(1,(AF$8&gt;=$AO$20:$AO$119)*($AP$20:$AP$119&gt;=AF$8)*($AM$20:$AM$119=$B$24),0),2),""))</f>
        <v/>
      </c>
      <c r="AG24" s="249" t="str">
        <f t="array" ref="AG24">IF(OR(AG$11=1,AG$11=7),"",IFERROR(INDEX($AM$20:$AP$119,MATCH(1,(AG$8&gt;=$AO$20:$AO$119)*($AP$20:$AP$119&gt;=AG$8)*($AM$20:$AM$119=$B$24),0),2),""))</f>
        <v/>
      </c>
      <c r="AH24" s="256" t="str">
        <f>B24</f>
        <v>jules</v>
      </c>
      <c r="AI24" s="709">
        <f>COUNTIF(C24:AG24,$AI$10)</f>
        <v>0</v>
      </c>
      <c r="AJ24" s="13"/>
      <c r="AK24" s="696" t="s">
        <v>849</v>
      </c>
      <c r="AL24" s="13">
        <v>5</v>
      </c>
      <c r="AM24" s="696" t="s">
        <v>849</v>
      </c>
      <c r="AN24" s="629" t="s">
        <v>360</v>
      </c>
      <c r="AO24" s="31">
        <v>43841</v>
      </c>
      <c r="AP24" s="31">
        <v>43852</v>
      </c>
      <c r="AQ24" s="635">
        <f>Absences268101214242[[#This Row],[debut]]</f>
        <v>43841</v>
      </c>
      <c r="AR24" s="13"/>
      <c r="AS24" s="595" t="s">
        <v>361</v>
      </c>
      <c r="AT24" s="629" t="s">
        <v>360</v>
      </c>
      <c r="AU24" s="13"/>
      <c r="AV24" s="70"/>
      <c r="AW24" s="57"/>
      <c r="AX24" s="57"/>
      <c r="AY24" s="57"/>
      <c r="AZ24" s="54"/>
      <c r="BA24" s="54"/>
      <c r="BB24" s="54"/>
      <c r="BC24" s="55"/>
      <c r="BD24" s="56"/>
      <c r="BE24" s="56"/>
      <c r="BF24" s="56"/>
      <c r="BG24" s="56"/>
      <c r="BI24" s="290"/>
      <c r="BJ24" s="295"/>
      <c r="BK24" s="281"/>
      <c r="BL24" s="294"/>
      <c r="BM24" s="294"/>
      <c r="BN24" s="294"/>
      <c r="BO24" s="294"/>
      <c r="BP24" s="292"/>
      <c r="BQ24" s="292"/>
      <c r="BR24" s="292"/>
      <c r="BS24" s="292"/>
      <c r="BT24" s="292"/>
      <c r="BU24" s="292"/>
      <c r="BV24" s="294"/>
      <c r="BW24" s="331"/>
      <c r="BX24" s="308"/>
      <c r="BZ24" s="359">
        <f t="shared" si="5"/>
        <v>44317</v>
      </c>
      <c r="CA24" s="522">
        <f>DATE(BZ4+1,5,1)</f>
        <v>44317</v>
      </c>
      <c r="CB24" s="361" t="s">
        <v>726</v>
      </c>
      <c r="CC24" s="563"/>
      <c r="CD24" s="563"/>
      <c r="CE24" s="563"/>
    </row>
    <row r="25" spans="1:83" ht="19.5" thickBot="1" x14ac:dyDescent="0.3">
      <c r="A25" s="13"/>
      <c r="B25" s="611">
        <f>COUNTA(C25:AG25)</f>
        <v>0</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706">
        <f>COUNTIF(C24:AG24,$AH$11)</f>
        <v>0</v>
      </c>
      <c r="AI25" s="714">
        <f>COUNTIF(C24:AG24,$AI$11)</f>
        <v>0</v>
      </c>
      <c r="AJ25" s="13"/>
      <c r="AK25" s="697" t="s">
        <v>856</v>
      </c>
      <c r="AL25" s="13">
        <v>6</v>
      </c>
      <c r="AM25" s="697" t="s">
        <v>856</v>
      </c>
      <c r="AN25" s="10" t="s">
        <v>6</v>
      </c>
      <c r="AO25" s="31">
        <v>43837</v>
      </c>
      <c r="AP25" s="31">
        <v>43842</v>
      </c>
      <c r="AQ25" s="635">
        <f>Absences268101214242[[#This Row],[debut]]</f>
        <v>43837</v>
      </c>
      <c r="AR25" s="13"/>
      <c r="AS25" s="608" t="s">
        <v>357</v>
      </c>
      <c r="AT25" s="10" t="s">
        <v>6</v>
      </c>
      <c r="AU25" s="13"/>
      <c r="AV25" s="94" t="s">
        <v>87</v>
      </c>
      <c r="AW25" s="50">
        <v>0.3125</v>
      </c>
      <c r="AX25" s="50">
        <v>0.47916666666666669</v>
      </c>
      <c r="AY25" s="51">
        <v>0</v>
      </c>
      <c r="AZ25" s="52">
        <f>IF(AX25-AW25=0,0,(AX25-AW25)-(AY25*TIMEVALUE("00:30")))</f>
        <v>0.16666666666666669</v>
      </c>
      <c r="BA25" s="53" t="s">
        <v>62</v>
      </c>
      <c r="BB25" s="54"/>
      <c r="BC25" s="55"/>
      <c r="BD25" s="56"/>
      <c r="BE25" s="56"/>
      <c r="BF25" s="56"/>
      <c r="BG25" s="56"/>
      <c r="BI25" s="290"/>
      <c r="BJ25" s="295"/>
      <c r="BK25" s="332"/>
      <c r="BL25" s="59"/>
      <c r="BM25" s="294"/>
      <c r="BN25" s="294"/>
      <c r="BO25" s="294"/>
      <c r="BP25" s="292"/>
      <c r="BQ25" s="292"/>
      <c r="BR25" s="292"/>
      <c r="BS25" s="292"/>
      <c r="BT25" s="292"/>
      <c r="BU25" s="292"/>
      <c r="BV25" s="294"/>
      <c r="BW25" s="331"/>
      <c r="BX25" s="308"/>
      <c r="BZ25" s="359">
        <f t="shared" si="5"/>
        <v>494</v>
      </c>
      <c r="CA25" s="360">
        <f>DATE($Y$2+1,5,8)</f>
        <v>494</v>
      </c>
      <c r="CB25" s="361" t="s">
        <v>728</v>
      </c>
      <c r="CC25" s="563"/>
      <c r="CD25" s="563"/>
      <c r="CE25" s="563"/>
    </row>
    <row r="26" spans="1:83" ht="14.25" customHeight="1" x14ac:dyDescent="0.25">
      <c r="A26" s="13"/>
      <c r="B26" s="697" t="s">
        <v>857</v>
      </c>
      <c r="C26" s="249" t="str">
        <f t="array" ref="C26">IF(OR(C$11=1,C$11=7),"",IFERROR(INDEX($AM$20:$AP$119,MATCH(1,(C$8&gt;=$AO$20:$AO$119)*($AP$20:$AP$119&gt;=C$8)*($AM$20:$AM$119=$B$26),0),2),""))</f>
        <v/>
      </c>
      <c r="D26" s="249" t="str">
        <f t="array" ref="D26">IF(OR(D$11=1,D$11=7),"",IFERROR(INDEX($AM$20:$AP$119,MATCH(1,(D$8&gt;=$AO$20:$AO$119)*($AP$20:$AP$119&gt;=D$8)*($AM$20:$AM$119=$B$26),0),2),""))</f>
        <v/>
      </c>
      <c r="E26" s="249" t="str">
        <f t="array" ref="E26">IF(OR(E$11=1,E$11=7),"",IFERROR(INDEX($AM$20:$AP$119,MATCH(1,(E$8&gt;=$AO$20:$AO$119)*($AP$20:$AP$119&gt;=E$8)*($AM$20:$AM$119=$B$26),0),2),""))</f>
        <v/>
      </c>
      <c r="F26" s="249" t="str">
        <f t="array" ref="F26">IF(OR(F$11=1,F$11=7),"",IFERROR(INDEX($AM$20:$AP$119,MATCH(1,(F$8&gt;=$AO$20:$AO$119)*($AP$20:$AP$119&gt;=F$8)*($AM$20:$AM$119=$B$26),0),2),""))</f>
        <v/>
      </c>
      <c r="G26" s="249" t="str">
        <f t="array" ref="G26">IF(OR(G$11=1,G$11=7),"",IFERROR(INDEX($AM$20:$AP$119,MATCH(1,(G$8&gt;=$AO$20:$AO$119)*($AP$20:$AP$119&gt;=G$8)*($AM$20:$AM$119=$B$26),0),2),""))</f>
        <v/>
      </c>
      <c r="H26" s="249" t="str">
        <f t="array" ref="H26">IF(OR(H$11=1,H$11=7),"",IFERROR(INDEX($AM$20:$AP$119,MATCH(1,(H$8&gt;=$AO$20:$AO$119)*($AP$20:$AP$119&gt;=H$8)*($AM$20:$AM$119=$B$26),0),2),""))</f>
        <v/>
      </c>
      <c r="I26" s="249" t="str">
        <f t="array" ref="I26">IF(OR(I$11=1,I$11=7),"",IFERROR(INDEX($AM$20:$AP$119,MATCH(1,(I$8&gt;=$AO$20:$AO$119)*($AP$20:$AP$119&gt;=I$8)*($AM$20:$AM$119=$B$26),0),2),""))</f>
        <v/>
      </c>
      <c r="J26" s="249" t="str">
        <f t="array" ref="J26">IF(OR(J$11=1,J$11=7),"",IFERROR(INDEX($AM$20:$AP$119,MATCH(1,(J$8&gt;=$AO$20:$AO$119)*($AP$20:$AP$119&gt;=J$8)*($AM$20:$AM$119=$B$26),0),2),""))</f>
        <v/>
      </c>
      <c r="K26" s="249" t="str">
        <f t="array" ref="K26">IF(OR(K$11=1,K$11=7),"",IFERROR(INDEX($AM$20:$AP$119,MATCH(1,(K$8&gt;=$AO$20:$AO$119)*($AP$20:$AP$119&gt;=K$8)*($AM$20:$AM$119=$B$26),0),2),""))</f>
        <v/>
      </c>
      <c r="L26" s="249" t="str">
        <f t="array" ref="L26">IF(OR(L$11=1,L$11=7),"",IFERROR(INDEX($AM$20:$AP$119,MATCH(1,(L$8&gt;=$AO$20:$AO$119)*($AP$20:$AP$119&gt;=L$8)*($AM$20:$AM$119=$B$26),0),2),""))</f>
        <v/>
      </c>
      <c r="M26" s="249" t="str">
        <f t="array" ref="M26">IF(OR(M$11=1,M$11=7),"",IFERROR(INDEX($AM$20:$AP$119,MATCH(1,(M$8&gt;=$AO$20:$AO$119)*($AP$20:$AP$119&gt;=M$8)*($AM$20:$AM$119=$B$26),0),2),""))</f>
        <v/>
      </c>
      <c r="N26" s="249" t="str">
        <f t="array" ref="N26">IF(OR(N$11=1,N$11=7),"",IFERROR(INDEX($AM$20:$AP$119,MATCH(1,(N$8&gt;=$AO$20:$AO$119)*($AP$20:$AP$119&gt;=N$8)*($AM$20:$AM$119=$B$26),0),2),""))</f>
        <v/>
      </c>
      <c r="O26" s="249" t="str">
        <f t="array" ref="O26">IF(OR(O$11=1,O$11=7),"",IFERROR(INDEX($AM$20:$AP$119,MATCH(1,(O$8&gt;=$AO$20:$AO$119)*($AP$20:$AP$119&gt;=O$8)*($AM$20:$AM$119=$B$26),0),2),""))</f>
        <v/>
      </c>
      <c r="P26" s="249" t="str">
        <f t="array" ref="P26">IF(OR(P$11=1,P$11=7),"",IFERROR(INDEX($AM$20:$AP$119,MATCH(1,(P$8&gt;=$AO$20:$AO$119)*($AP$20:$AP$119&gt;=P$8)*($AM$20:$AM$119=$B$26),0),2),""))</f>
        <v/>
      </c>
      <c r="Q26" s="249" t="str">
        <f t="array" ref="Q26">IF(OR(Q$11=1,Q$11=7),"",IFERROR(INDEX($AM$20:$AP$119,MATCH(1,(Q$8&gt;=$AO$20:$AO$119)*($AP$20:$AP$119&gt;=Q$8)*($AM$20:$AM$119=$B$26),0),2),""))</f>
        <v/>
      </c>
      <c r="R26" s="249" t="str">
        <f t="array" ref="R26">IF(OR(R$11=1,R$11=7),"",IFERROR(INDEX($AM$20:$AP$119,MATCH(1,(R$8&gt;=$AO$20:$AO$119)*($AP$20:$AP$119&gt;=R$8)*($AM$20:$AM$119=$B$26),0),2),""))</f>
        <v/>
      </c>
      <c r="S26" s="249" t="str">
        <f t="array" ref="S26">IF(OR(S$11=1,S$11=7),"",IFERROR(INDEX($AM$20:$AP$119,MATCH(1,(S$8&gt;=$AO$20:$AO$119)*($AP$20:$AP$119&gt;=S$8)*($AM$20:$AM$119=$B$26),0),2),""))</f>
        <v/>
      </c>
      <c r="T26" s="249" t="str">
        <f t="array" ref="T26">IF(OR(T$11=1,T$11=7),"",IFERROR(INDEX($AM$20:$AP$119,MATCH(1,(T$8&gt;=$AO$20:$AO$119)*($AP$20:$AP$119&gt;=T$8)*($AM$20:$AM$119=$B$26),0),2),""))</f>
        <v/>
      </c>
      <c r="U26" s="249" t="str">
        <f t="array" ref="U26">IF(OR(U$11=1,U$11=7),"",IFERROR(INDEX($AM$20:$AP$119,MATCH(1,(U$8&gt;=$AO$20:$AO$119)*($AP$20:$AP$119&gt;=U$8)*($AM$20:$AM$119=$B$26),0),2),""))</f>
        <v/>
      </c>
      <c r="V26" s="249" t="str">
        <f t="array" ref="V26">IF(OR(V$11=1,V$11=7),"",IFERROR(INDEX($AM$20:$AP$119,MATCH(1,(V$8&gt;=$AO$20:$AO$119)*($AP$20:$AP$119&gt;=V$8)*($AM$20:$AM$119=$B$26),0),2),""))</f>
        <v>Cp</v>
      </c>
      <c r="W26" s="249" t="str">
        <f t="array" ref="W26">IF(OR(W$11=1,W$11=7),"",IFERROR(INDEX($AM$20:$AP$119,MATCH(1,(W$8&gt;=$AO$20:$AO$119)*($AP$20:$AP$119&gt;=W$8)*($AM$20:$AM$119=$B$26),0),2),""))</f>
        <v>Cp</v>
      </c>
      <c r="X26" s="249" t="str">
        <f t="array" ref="X26">IF(OR(X$11=1,X$11=7),"",IFERROR(INDEX($AM$20:$AP$119,MATCH(1,(X$8&gt;=$AO$20:$AO$119)*($AP$20:$AP$119&gt;=X$8)*($AM$20:$AM$119=$B$26),0),2),""))</f>
        <v>Cp</v>
      </c>
      <c r="Y26" s="249" t="str">
        <f t="array" ref="Y26">IF(OR(Y$11=1,Y$11=7),"",IFERROR(INDEX($AM$20:$AP$119,MATCH(1,(Y$8&gt;=$AO$20:$AO$119)*($AP$20:$AP$119&gt;=Y$8)*($AM$20:$AM$119=$B$26),0),2),""))</f>
        <v>Cp</v>
      </c>
      <c r="Z26" s="249" t="str">
        <f t="array" ref="Z26">IF(OR(Z$11=1,Z$11=7),"",IFERROR(INDEX($AM$20:$AP$119,MATCH(1,(Z$8&gt;=$AO$20:$AO$119)*($AP$20:$AP$119&gt;=Z$8)*($AM$20:$AM$119=$B$26),0),2),""))</f>
        <v>Cp</v>
      </c>
      <c r="AA26" s="249" t="str">
        <f t="array" ref="AA26">IF(OR(AA$11=1,AA$11=7),"",IFERROR(INDEX($AM$20:$AP$119,MATCH(1,(AA$8&gt;=$AO$20:$AO$119)*($AP$20:$AP$119&gt;=AA$8)*($AM$20:$AM$119=$B$26),0),2),""))</f>
        <v/>
      </c>
      <c r="AB26" s="249" t="str">
        <f t="array" ref="AB26">IF(OR(AB$11=1,AB$11=7),"",IFERROR(INDEX($AM$20:$AP$119,MATCH(1,(AB$8&gt;=$AO$20:$AO$119)*($AP$20:$AP$119&gt;=AB$8)*($AM$20:$AM$119=$B$26),0),2),""))</f>
        <v/>
      </c>
      <c r="AC26" s="249" t="str">
        <f t="array" ref="AC26">IF(OR(AC$11=1,AC$11=7),"",IFERROR(INDEX($AM$20:$AP$119,MATCH(1,(AC$8&gt;=$AO$20:$AO$119)*($AP$20:$AP$119&gt;=AC$8)*($AM$20:$AM$119=$B$26),0),2),""))</f>
        <v>Cp</v>
      </c>
      <c r="AD26" s="712" t="str">
        <f t="array" ref="AD26">IF(OR(AD$11=1,AD$11=7),"",IFERROR(INDEX($AM$20:$AP$119,MATCH(1,(AD$8&gt;=$AO$20:$AO$119)*($AP$20:$AP$119&gt;=AD$8)*($AM$20:$AM$119=$B$26),0),2),""))</f>
        <v>Cp</v>
      </c>
      <c r="AE26" s="249" t="str">
        <f t="array" ref="AE26">IF(OR(AE$11=1,AE$11=7),"",IFERROR(INDEX($AM$20:$AP$119,MATCH(1,(AE$8&gt;=$AO$20:$AO$119)*($AP$20:$AP$119&gt;=AE$8)*($AM$20:$AM$119=$B$26),0),2),""))</f>
        <v/>
      </c>
      <c r="AF26" s="249" t="str">
        <f t="array" ref="AF26">IF(OR(AF$11=1,AF$11=7),"",IFERROR(INDEX($AM$20:$AP$119,MATCH(1,(AF$8&gt;=$AO$20:$AO$119)*($AP$20:$AP$119&gt;=AF$8)*($AM$20:$AM$119=$B$26),0),2),""))</f>
        <v/>
      </c>
      <c r="AG26" s="249" t="str">
        <f t="array" ref="AG26">IF(OR(AG$11=1,AG$11=7),"",IFERROR(INDEX($AM$20:$AP$119,MATCH(1,(AG$8&gt;=$AO$20:$AO$119)*($AP$20:$AP$119&gt;=AG$8)*($AM$20:$AM$119=$B$26),0),2),""))</f>
        <v/>
      </c>
      <c r="AH26" s="256" t="str">
        <f>B26</f>
        <v>martine</v>
      </c>
      <c r="AI26" s="709">
        <f>COUNTIF(C26:AG26,$AI$10)</f>
        <v>0</v>
      </c>
      <c r="AJ26" s="13"/>
      <c r="AK26" s="696" t="s">
        <v>852</v>
      </c>
      <c r="AL26" s="13">
        <v>7</v>
      </c>
      <c r="AM26" s="697" t="s">
        <v>499</v>
      </c>
      <c r="AN26" s="633" t="s">
        <v>799</v>
      </c>
      <c r="AO26" s="33">
        <v>43891</v>
      </c>
      <c r="AP26" s="33">
        <v>43894</v>
      </c>
      <c r="AQ26" s="635">
        <f>Absences268101214242[[#This Row],[debut]]</f>
        <v>43891</v>
      </c>
      <c r="AR26" s="13"/>
      <c r="AS26" s="597" t="s">
        <v>813</v>
      </c>
      <c r="AT26" s="633" t="s">
        <v>799</v>
      </c>
      <c r="AU26" s="13"/>
      <c r="AV26" s="70"/>
      <c r="AW26" s="57"/>
      <c r="AX26" s="57"/>
      <c r="AY26" s="57"/>
      <c r="AZ26" s="54"/>
      <c r="BA26" s="54"/>
      <c r="BB26" s="54"/>
      <c r="BC26" s="55"/>
      <c r="BD26" s="56"/>
      <c r="BE26" s="56"/>
      <c r="BF26" s="56"/>
      <c r="BG26" s="56"/>
      <c r="BI26" s="290"/>
      <c r="BJ26" s="295"/>
      <c r="BK26" s="332"/>
      <c r="BL26" s="59"/>
      <c r="BM26" s="294"/>
      <c r="BN26" s="294"/>
      <c r="BO26" s="294"/>
      <c r="BP26" s="316"/>
      <c r="BQ26" s="333" t="s">
        <v>666</v>
      </c>
      <c r="BR26" s="334"/>
      <c r="BS26" s="335">
        <v>0</v>
      </c>
      <c r="BT26" s="336">
        <v>0</v>
      </c>
      <c r="BU26" s="337">
        <v>0</v>
      </c>
      <c r="BV26" s="338">
        <f>(BT26-BS26)-("00:30"*BU26)</f>
        <v>0</v>
      </c>
      <c r="BW26" s="331"/>
      <c r="BX26" s="308"/>
      <c r="BZ26" s="359">
        <f t="shared" si="5"/>
        <v>44329</v>
      </c>
      <c r="CA26" s="360">
        <f>CA22+39</f>
        <v>44329</v>
      </c>
      <c r="CB26" s="361" t="s">
        <v>729</v>
      </c>
      <c r="CC26" s="563"/>
      <c r="CD26" s="563"/>
      <c r="CE26" s="563"/>
    </row>
    <row r="27" spans="1:83" ht="21.75" thickBot="1" x14ac:dyDescent="0.3">
      <c r="A27" s="13"/>
      <c r="B27" s="611">
        <f>COUNTA(C27:AG27)</f>
        <v>0</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706">
        <f>COUNTIF(C26:AG26,$AH$11)</f>
        <v>0</v>
      </c>
      <c r="AI27" s="714">
        <f>COUNTIF(C26:AG26,$AI$11)</f>
        <v>7</v>
      </c>
      <c r="AJ27" s="13"/>
      <c r="AK27" s="697" t="s">
        <v>857</v>
      </c>
      <c r="AL27" s="13">
        <v>8</v>
      </c>
      <c r="AM27" s="11" t="s">
        <v>5</v>
      </c>
      <c r="AN27" s="613" t="s">
        <v>362</v>
      </c>
      <c r="AO27" s="32">
        <v>43843</v>
      </c>
      <c r="AP27" s="32">
        <v>43844</v>
      </c>
      <c r="AQ27" s="635">
        <f>Absences268101214242[[#This Row],[debut]]</f>
        <v>43843</v>
      </c>
      <c r="AR27" s="13"/>
      <c r="AS27" s="608" t="s">
        <v>363</v>
      </c>
      <c r="AT27" s="613" t="s">
        <v>362</v>
      </c>
      <c r="AU27" s="13"/>
      <c r="AV27" s="94" t="s">
        <v>88</v>
      </c>
      <c r="AW27" s="50">
        <v>0.375</v>
      </c>
      <c r="AX27" s="50">
        <v>0.5625</v>
      </c>
      <c r="AY27" s="51">
        <v>1</v>
      </c>
      <c r="AZ27" s="52">
        <f>IF(AX27-AW27=0,0,(AX27-AW27)-(AY27*TIMEVALUE("00:30")))</f>
        <v>0.16666666666666666</v>
      </c>
      <c r="BA27" s="53" t="s">
        <v>67</v>
      </c>
      <c r="BB27" s="54"/>
      <c r="BC27" s="55"/>
      <c r="BD27" s="56"/>
      <c r="BE27" s="56"/>
      <c r="BF27" s="56"/>
      <c r="BG27" s="56"/>
      <c r="BI27" s="290"/>
      <c r="BJ27" s="339"/>
      <c r="BK27" s="339"/>
      <c r="BL27" s="339"/>
      <c r="BM27" s="315"/>
      <c r="BN27" s="292"/>
      <c r="BO27" s="292"/>
      <c r="BP27" s="316"/>
      <c r="BQ27" s="333" t="s">
        <v>666</v>
      </c>
      <c r="BR27" s="340" t="s">
        <v>667</v>
      </c>
      <c r="BS27" s="335">
        <v>0</v>
      </c>
      <c r="BT27" s="336">
        <v>0</v>
      </c>
      <c r="BU27" s="337">
        <v>0</v>
      </c>
      <c r="BV27" s="338">
        <f>(BT27-BS27)-("00:30"*BU27)</f>
        <v>0</v>
      </c>
      <c r="BW27" s="331"/>
      <c r="BX27" s="313"/>
      <c r="BZ27" s="359">
        <f t="shared" si="5"/>
        <v>44339</v>
      </c>
      <c r="CA27" s="360">
        <f>CA22+49</f>
        <v>44339</v>
      </c>
      <c r="CB27" s="361" t="s">
        <v>731</v>
      </c>
      <c r="CC27" s="563"/>
      <c r="CD27" s="563"/>
      <c r="CE27" s="563"/>
    </row>
    <row r="28" spans="1:83" ht="14.25" customHeight="1" x14ac:dyDescent="0.25">
      <c r="A28" s="13"/>
      <c r="B28" s="696" t="s">
        <v>858</v>
      </c>
      <c r="C28" s="249" t="str">
        <f t="array" ref="C28">IF(OR(C$11=1,C$11=7),"",IFERROR(INDEX($AM$20:$AP$119,MATCH(1,(C$8&gt;=$AO$20:$AO$119)*($AP$20:$AP$119&gt;=C$8)*($AM$20:$AM$119=$B$28),0),2),""))</f>
        <v/>
      </c>
      <c r="D28" s="249" t="str">
        <f t="array" ref="D28">IF(OR(D$11=1,D$11=7),"",IFERROR(INDEX($AM$20:$AP$119,MATCH(1,(D$8&gt;=$AO$20:$AO$119)*($AP$20:$AP$119&gt;=D$8)*($AM$20:$AM$119=$B$28),0),2),""))</f>
        <v/>
      </c>
      <c r="E28" s="249" t="str">
        <f t="array" ref="E28">IF(OR(E$11=1,E$11=7),"",IFERROR(INDEX($AM$20:$AP$119,MATCH(1,(E$8&gt;=$AO$20:$AO$119)*($AP$20:$AP$119&gt;=E$8)*($AM$20:$AM$119=$B$28),0),2),""))</f>
        <v/>
      </c>
      <c r="F28" s="249" t="str">
        <f t="array" ref="F28">IF(OR(F$11=1,F$11=7),"",IFERROR(INDEX($AM$20:$AP$119,MATCH(1,(F$8&gt;=$AO$20:$AO$119)*($AP$20:$AP$119&gt;=F$8)*($AM$20:$AM$119=$B$28),0),2),""))</f>
        <v/>
      </c>
      <c r="G28" s="249" t="str">
        <f t="array" ref="G28">IF(OR(G$11=1,G$11=7),"",IFERROR(INDEX($AM$20:$AP$119,MATCH(1,(G$8&gt;=$AO$20:$AO$119)*($AP$20:$AP$119&gt;=G$8)*($AM$20:$AM$119=$B$28),0),2),""))</f>
        <v/>
      </c>
      <c r="H28" s="249" t="str">
        <f t="array" ref="H28">IF(OR(H$11=1,H$11=7),"",IFERROR(INDEX($AM$20:$AP$119,MATCH(1,(H$8&gt;=$AO$20:$AO$119)*($AP$20:$AP$119&gt;=H$8)*($AM$20:$AM$119=$B$28),0),2),""))</f>
        <v/>
      </c>
      <c r="I28" s="249" t="str">
        <f t="array" ref="I28">IF(OR(I$11=1,I$11=7),"",IFERROR(INDEX($AM$20:$AP$119,MATCH(1,(I$8&gt;=$AO$20:$AO$119)*($AP$20:$AP$119&gt;=I$8)*($AM$20:$AM$119=$B$28),0),2),""))</f>
        <v/>
      </c>
      <c r="J28" s="249" t="str">
        <f t="array" ref="J28">IF(OR(J$11=1,J$11=7),"",IFERROR(INDEX($AM$20:$AP$119,MATCH(1,(J$8&gt;=$AO$20:$AO$119)*($AP$20:$AP$119&gt;=J$8)*($AM$20:$AM$119=$B$28),0),2),""))</f>
        <v/>
      </c>
      <c r="K28" s="249" t="str">
        <f t="array" ref="K28">IF(OR(K$11=1,K$11=7),"",IFERROR(INDEX($AM$20:$AP$119,MATCH(1,(K$8&gt;=$AO$20:$AO$119)*($AP$20:$AP$119&gt;=K$8)*($AM$20:$AM$119=$B$28),0),2),""))</f>
        <v/>
      </c>
      <c r="L28" s="249" t="str">
        <f t="array" ref="L28">IF(OR(L$11=1,L$11=7),"",IFERROR(INDEX($AM$20:$AP$119,MATCH(1,(L$8&gt;=$AO$20:$AO$119)*($AP$20:$AP$119&gt;=L$8)*($AM$20:$AM$119=$B$28),0),2),""))</f>
        <v/>
      </c>
      <c r="M28" s="249" t="str">
        <f t="array" ref="M28">IF(OR(M$11=1,M$11=7),"",IFERROR(INDEX($AM$20:$AP$119,MATCH(1,(M$8&gt;=$AO$20:$AO$119)*($AP$20:$AP$119&gt;=M$8)*($AM$20:$AM$119=$B$28),0),2),""))</f>
        <v/>
      </c>
      <c r="N28" s="249" t="str">
        <f t="array" ref="N28">IF(OR(N$11=1,N$11=7),"",IFERROR(INDEX($AM$20:$AP$119,MATCH(1,(N$8&gt;=$AO$20:$AO$119)*($AP$20:$AP$119&gt;=N$8)*($AM$20:$AM$119=$B$28),0),2),""))</f>
        <v/>
      </c>
      <c r="O28" s="249" t="str">
        <f t="array" ref="O28">IF(OR(O$11=1,O$11=7),"",IFERROR(INDEX($AM$20:$AP$119,MATCH(1,(O$8&gt;=$AO$20:$AO$119)*($AP$20:$AP$119&gt;=O$8)*($AM$20:$AM$119=$B$28),0),2),""))</f>
        <v>C</v>
      </c>
      <c r="P28" s="249" t="str">
        <f t="array" ref="P28">IF(OR(P$11=1,P$11=7),"",IFERROR(INDEX($AM$20:$AP$119,MATCH(1,(P$8&gt;=$AO$20:$AO$119)*($AP$20:$AP$119&gt;=P$8)*($AM$20:$AM$119=$B$28),0),2),""))</f>
        <v>C</v>
      </c>
      <c r="Q28" s="249" t="str">
        <f t="array" ref="Q28">IF(OR(Q$11=1,Q$11=7),"",IFERROR(INDEX($AM$20:$AP$119,MATCH(1,(Q$8&gt;=$AO$20:$AO$119)*($AP$20:$AP$119&gt;=Q$8)*($AM$20:$AM$119=$B$28),0),2),""))</f>
        <v>C</v>
      </c>
      <c r="R28" s="249" t="str">
        <f t="array" ref="R28">IF(OR(R$11=1,R$11=7),"",IFERROR(INDEX($AM$20:$AP$119,MATCH(1,(R$8&gt;=$AO$20:$AO$119)*($AP$20:$AP$119&gt;=R$8)*($AM$20:$AM$119=$B$28),0),2),""))</f>
        <v>C</v>
      </c>
      <c r="S28" s="249" t="str">
        <f t="array" ref="S28">IF(OR(S$11=1,S$11=7),"",IFERROR(INDEX($AM$20:$AP$119,MATCH(1,(S$8&gt;=$AO$20:$AO$119)*($AP$20:$AP$119&gt;=S$8)*($AM$20:$AM$119=$B$28),0),2),""))</f>
        <v/>
      </c>
      <c r="T28" s="249" t="str">
        <f t="array" ref="T28">IF(OR(T$11=1,T$11=7),"",IFERROR(INDEX($AM$20:$AP$119,MATCH(1,(T$8&gt;=$AO$20:$AO$119)*($AP$20:$AP$119&gt;=T$8)*($AM$20:$AM$119=$B$28),0),2),""))</f>
        <v/>
      </c>
      <c r="U28" s="249" t="str">
        <f t="array" ref="U28">IF(OR(U$11=1,U$11=7),"",IFERROR(INDEX($AM$20:$AP$119,MATCH(1,(U$8&gt;=$AO$20:$AO$119)*($AP$20:$AP$119&gt;=U$8)*($AM$20:$AM$119=$B$28),0),2),""))</f>
        <v/>
      </c>
      <c r="V28" s="249" t="str">
        <f t="array" ref="V28">IF(OR(V$11=1,V$11=7),"",IFERROR(INDEX($AM$20:$AP$119,MATCH(1,(V$8&gt;=$AO$20:$AO$119)*($AP$20:$AP$119&gt;=V$8)*($AM$20:$AM$119=$B$28),0),2),""))</f>
        <v/>
      </c>
      <c r="W28" s="249" t="str">
        <f t="array" ref="W28">IF(OR(W$11=1,W$11=7),"",IFERROR(INDEX($AM$20:$AP$119,MATCH(1,(W$8&gt;=$AO$20:$AO$119)*($AP$20:$AP$119&gt;=W$8)*($AM$20:$AM$119=$B$28),0),2),""))</f>
        <v/>
      </c>
      <c r="X28" s="249" t="str">
        <f t="array" ref="X28">IF(OR(X$11=1,X$11=7),"",IFERROR(INDEX($AM$20:$AP$119,MATCH(1,(X$8&gt;=$AO$20:$AO$119)*($AP$20:$AP$119&gt;=X$8)*($AM$20:$AM$119=$B$28),0),2),""))</f>
        <v/>
      </c>
      <c r="Y28" s="249" t="str">
        <f t="array" ref="Y28">IF(OR(Y$11=1,Y$11=7),"",IFERROR(INDEX($AM$20:$AP$119,MATCH(1,(Y$8&gt;=$AO$20:$AO$119)*($AP$20:$AP$119&gt;=Y$8)*($AM$20:$AM$119=$B$28),0),2),""))</f>
        <v/>
      </c>
      <c r="Z28" s="249" t="str">
        <f t="array" ref="Z28">IF(OR(Z$11=1,Z$11=7),"",IFERROR(INDEX($AM$20:$AP$119,MATCH(1,(Z$8&gt;=$AO$20:$AO$119)*($AP$20:$AP$119&gt;=Z$8)*($AM$20:$AM$119=$B$28),0),2),""))</f>
        <v/>
      </c>
      <c r="AA28" s="249" t="str">
        <f t="array" ref="AA28">IF(OR(AA$11=1,AA$11=7),"",IFERROR(INDEX($AM$20:$AP$119,MATCH(1,(AA$8&gt;=$AO$20:$AO$119)*($AP$20:$AP$119&gt;=AA$8)*($AM$20:$AM$119=$B$28),0),2),""))</f>
        <v/>
      </c>
      <c r="AB28" s="249" t="str">
        <f t="array" ref="AB28">IF(OR(AB$11=1,AB$11=7),"",IFERROR(INDEX($AM$20:$AP$119,MATCH(1,(AB$8&gt;=$AO$20:$AO$119)*($AP$20:$AP$119&gt;=AB$8)*($AM$20:$AM$119=$B$28),0),2),""))</f>
        <v/>
      </c>
      <c r="AC28" s="249" t="str">
        <f t="array" ref="AC28">IF(OR(AC$11=1,AC$11=7),"",IFERROR(INDEX($AM$20:$AP$119,MATCH(1,(AC$8&gt;=$AO$20:$AO$119)*($AP$20:$AP$119&gt;=AC$8)*($AM$20:$AM$119=$B$28),0),2),""))</f>
        <v/>
      </c>
      <c r="AD28" s="249" t="str">
        <f t="array" ref="AD28">IF(OR(AD$11=1,AD$11=7),"",IFERROR(INDEX($AM$20:$AP$119,MATCH(1,(AD$8&gt;=$AO$20:$AO$119)*($AP$20:$AP$119&gt;=AD$8)*($AM$20:$AM$119=$B$28),0),2),""))</f>
        <v/>
      </c>
      <c r="AE28" s="249" t="str">
        <f t="array" ref="AE28">IF(OR(AE$11=1,AE$11=7),"",IFERROR(INDEX($AM$20:$AP$119,MATCH(1,(AE$8&gt;=$AO$20:$AO$119)*($AP$20:$AP$119&gt;=AE$8)*($AM$20:$AM$119=$B$28),0),2),""))</f>
        <v/>
      </c>
      <c r="AF28" s="249" t="str">
        <f t="array" ref="AF28">IF(OR(AF$11=1,AF$11=7),"",IFERROR(INDEX($AM$20:$AP$119,MATCH(1,(AF$8&gt;=$AO$20:$AO$119)*($AP$20:$AP$119&gt;=AF$8)*($AM$20:$AM$119=$B$28),0),2),""))</f>
        <v/>
      </c>
      <c r="AG28" s="249" t="str">
        <f t="array" ref="AG28">IF(OR(AG$11=1,AG$11=7),"",IFERROR(INDEX($AM$20:$AP$119,MATCH(1,(AG$8&gt;=$AO$20:$AO$119)*($AP$20:$AP$119&gt;=AG$8)*($AM$20:$AM$119=$B$28),0),2),""))</f>
        <v/>
      </c>
      <c r="AH28" s="256" t="str">
        <f>B28</f>
        <v>maxime</v>
      </c>
      <c r="AI28" s="709">
        <f>COUNTIF(C28:AG28,$AI$10)</f>
        <v>0</v>
      </c>
      <c r="AJ28" s="13"/>
      <c r="AK28" s="696" t="s">
        <v>858</v>
      </c>
      <c r="AL28" s="13">
        <v>9</v>
      </c>
      <c r="AM28" s="11" t="s">
        <v>5</v>
      </c>
      <c r="AN28" s="630" t="s">
        <v>662</v>
      </c>
      <c r="AO28" s="33">
        <v>43903</v>
      </c>
      <c r="AP28" s="33">
        <v>43919</v>
      </c>
      <c r="AQ28" s="635">
        <f>Absences268101214242[[#This Row],[debut]]</f>
        <v>43903</v>
      </c>
      <c r="AR28" s="13"/>
      <c r="AU28" s="13"/>
      <c r="AV28" s="70"/>
      <c r="AW28" s="57"/>
      <c r="AX28" s="57"/>
      <c r="AY28" s="57"/>
      <c r="AZ28" s="54"/>
      <c r="BA28" s="54"/>
      <c r="BB28" s="54"/>
      <c r="BC28" s="55"/>
      <c r="BD28" s="56"/>
      <c r="BE28" s="56"/>
      <c r="BF28" s="56"/>
      <c r="BG28" s="56"/>
      <c r="BI28" s="290"/>
      <c r="BJ28" s="351" t="s">
        <v>538</v>
      </c>
      <c r="BK28" s="315" t="s">
        <v>539</v>
      </c>
      <c r="BL28" s="339"/>
      <c r="BM28" s="324"/>
      <c r="BN28" s="292"/>
      <c r="BO28" s="292"/>
      <c r="BP28" s="316"/>
      <c r="BQ28" s="333" t="s">
        <v>666</v>
      </c>
      <c r="BR28" s="340">
        <v>6</v>
      </c>
      <c r="BS28" s="335">
        <v>0.29166666666666669</v>
      </c>
      <c r="BT28" s="336">
        <v>0.60416666666666663</v>
      </c>
      <c r="BU28" s="337">
        <v>1</v>
      </c>
      <c r="BV28" s="338">
        <f>(BT28-BS28)-("00:30"*BU28)</f>
        <v>0.29166666666666663</v>
      </c>
      <c r="BW28" s="331"/>
      <c r="BX28" s="313"/>
      <c r="BZ28" s="359">
        <f t="shared" si="5"/>
        <v>44340</v>
      </c>
      <c r="CA28" s="360">
        <f>CA27+1</f>
        <v>44340</v>
      </c>
      <c r="CB28" s="361" t="s">
        <v>732</v>
      </c>
      <c r="CC28" s="563"/>
      <c r="CD28" s="563"/>
      <c r="CE28" s="563"/>
    </row>
    <row r="29" spans="1:83" ht="21.75" thickBot="1" x14ac:dyDescent="0.3">
      <c r="A29" s="13"/>
      <c r="B29" s="611">
        <f>COUNTA(C29:AG29)</f>
        <v>0</v>
      </c>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706">
        <f>COUNTIF(C28:AG28,$AH$11)</f>
        <v>0</v>
      </c>
      <c r="AI29" s="714">
        <f>COUNTIF(C28:AG28,$AI$11)</f>
        <v>0</v>
      </c>
      <c r="AJ29" s="13"/>
      <c r="AK29" s="697" t="s">
        <v>851</v>
      </c>
      <c r="AL29" s="13">
        <v>10</v>
      </c>
      <c r="AM29" s="697" t="s">
        <v>857</v>
      </c>
      <c r="AN29" s="631" t="s">
        <v>800</v>
      </c>
      <c r="AO29" s="31">
        <v>43850</v>
      </c>
      <c r="AP29" s="31">
        <v>43858</v>
      </c>
      <c r="AQ29" s="635">
        <f>Absences268101214242[[#This Row],[debut]]</f>
        <v>43850</v>
      </c>
      <c r="AR29" s="13"/>
      <c r="AU29" s="13"/>
      <c r="AV29" s="94" t="s">
        <v>89</v>
      </c>
      <c r="AW29" s="50">
        <v>0.33333333333333331</v>
      </c>
      <c r="AX29" s="50">
        <v>0.64583333333333337</v>
      </c>
      <c r="AY29" s="51">
        <v>1</v>
      </c>
      <c r="AZ29" s="52">
        <f>IF(AX29-AW29=0,0,(AX29-AW29)-(AY29*TIMEVALUE("00:30")))</f>
        <v>0.29166666666666674</v>
      </c>
      <c r="BA29" s="53" t="s">
        <v>127</v>
      </c>
      <c r="BB29" s="54"/>
      <c r="BC29" s="55"/>
      <c r="BD29" s="56"/>
      <c r="BE29" s="56"/>
      <c r="BF29" s="56"/>
      <c r="BG29" s="56"/>
      <c r="BI29" s="290"/>
      <c r="BJ29" s="351" t="s">
        <v>540</v>
      </c>
      <c r="BK29" s="315" t="s">
        <v>541</v>
      </c>
      <c r="BL29" s="339"/>
      <c r="BM29" s="315"/>
      <c r="BN29" s="339"/>
      <c r="BO29" s="339"/>
      <c r="BP29" s="316"/>
      <c r="BQ29" s="333" t="s">
        <v>553</v>
      </c>
      <c r="BR29" s="340">
        <v>10</v>
      </c>
      <c r="BS29" s="335">
        <v>0</v>
      </c>
      <c r="BT29" s="336">
        <v>0</v>
      </c>
      <c r="BU29" s="337">
        <v>0</v>
      </c>
      <c r="BV29" s="338">
        <f>(BT29-BS29)-("00:30"*BU29)</f>
        <v>0</v>
      </c>
      <c r="BW29" s="331"/>
      <c r="BX29" s="308"/>
      <c r="BZ29" s="359">
        <f t="shared" si="5"/>
        <v>44391</v>
      </c>
      <c r="CA29" s="360">
        <f>DATE(BZ4+1,7,14)</f>
        <v>44391</v>
      </c>
      <c r="CB29" s="361" t="s">
        <v>733</v>
      </c>
      <c r="CC29" s="563"/>
      <c r="CD29" s="563"/>
      <c r="CE29" s="563"/>
    </row>
    <row r="30" spans="1:83" ht="14.25" customHeight="1" x14ac:dyDescent="0.25">
      <c r="A30" s="13"/>
      <c r="B30" s="697" t="s">
        <v>851</v>
      </c>
      <c r="C30" s="249" t="str">
        <f t="array" ref="C30">IF(OR(C$11=1,C$11=7),"",IFERROR(INDEX($AM$20:$AP$119,MATCH(1,(C$8&gt;=$AO$20:$AO$119)*($AP$20:$AP$119&gt;=C$8)*($AM$20:$AM$119=$B$30),0),2),""))</f>
        <v/>
      </c>
      <c r="D30" s="249" t="str">
        <f t="array" ref="D30">IF(OR(D$11=1,D$11=7),"",IFERROR(INDEX($AM$20:$AP$119,MATCH(1,(D$8&gt;=$AO$20:$AO$119)*($AP$20:$AP$119&gt;=D$8)*($AM$20:$AM$119=$B$30),0),2),""))</f>
        <v/>
      </c>
      <c r="E30" s="249" t="str">
        <f t="array" ref="E30">IF(OR(E$11=1,E$11=7),"",IFERROR(INDEX($AM$20:$AP$119,MATCH(1,(E$8&gt;=$AO$20:$AO$119)*($AP$20:$AP$119&gt;=E$8)*($AM$20:$AM$119=$B$30),0),2),""))</f>
        <v/>
      </c>
      <c r="F30" s="249" t="str">
        <f t="array" ref="F30">IF(OR(F$11=1,F$11=7),"",IFERROR(INDEX($AM$20:$AP$119,MATCH(1,(F$8&gt;=$AO$20:$AO$119)*($AP$20:$AP$119&gt;=F$8)*($AM$20:$AM$119=$B$30),0),2),""))</f>
        <v/>
      </c>
      <c r="G30" s="249" t="str">
        <f t="array" ref="G30">IF(OR(G$11=1,G$11=7),"",IFERROR(INDEX($AM$20:$AP$119,MATCH(1,(G$8&gt;=$AO$20:$AO$119)*($AP$20:$AP$119&gt;=G$8)*($AM$20:$AM$119=$B$30),0),2),""))</f>
        <v/>
      </c>
      <c r="H30" s="249" t="str">
        <f t="array" ref="H30">IF(OR(H$11=1,H$11=7),"",IFERROR(INDEX($AM$20:$AP$119,MATCH(1,(H$8&gt;=$AO$20:$AO$119)*($AP$20:$AP$119&gt;=H$8)*($AM$20:$AM$119=$B$30),0),2),""))</f>
        <v/>
      </c>
      <c r="I30" s="249" t="str">
        <f t="array" ref="I30">IF(OR(I$11=1,I$11=7),"",IFERROR(INDEX($AM$20:$AP$119,MATCH(1,(I$8&gt;=$AO$20:$AO$119)*($AP$20:$AP$119&gt;=I$8)*($AM$20:$AM$119=$B$30),0),2),""))</f>
        <v/>
      </c>
      <c r="J30" s="249" t="str">
        <f t="array" ref="J30">IF(OR(J$11=1,J$11=7),"",IFERROR(INDEX($AM$20:$AP$119,MATCH(1,(J$8&gt;=$AO$20:$AO$119)*($AP$20:$AP$119&gt;=J$8)*($AM$20:$AM$119=$B$30),0),2),""))</f>
        <v/>
      </c>
      <c r="K30" s="249" t="str">
        <f t="array" ref="K30">IF(OR(K$11=1,K$11=7),"",IFERROR(INDEX($AM$20:$AP$119,MATCH(1,(K$8&gt;=$AO$20:$AO$119)*($AP$20:$AP$119&gt;=K$8)*($AM$20:$AM$119=$B$30),0),2),""))</f>
        <v/>
      </c>
      <c r="L30" s="249" t="str">
        <f t="array" ref="L30">IF(OR(L$11=1,L$11=7),"",IFERROR(INDEX($AM$20:$AP$119,MATCH(1,(L$8&gt;=$AO$20:$AO$119)*($AP$20:$AP$119&gt;=L$8)*($AM$20:$AM$119=$B$30),0),2),""))</f>
        <v/>
      </c>
      <c r="M30" s="249" t="str">
        <f t="array" ref="M30">IF(OR(M$11=1,M$11=7),"",IFERROR(INDEX($AM$20:$AP$119,MATCH(1,(M$8&gt;=$AO$20:$AO$119)*($AP$20:$AP$119&gt;=M$8)*($AM$20:$AM$119=$B$30),0),2),""))</f>
        <v/>
      </c>
      <c r="N30" s="249" t="str">
        <f t="array" ref="N30">IF(OR(N$11=1,N$11=7),"",IFERROR(INDEX($AM$20:$AP$119,MATCH(1,(N$8&gt;=$AO$20:$AO$119)*($AP$20:$AP$119&gt;=N$8)*($AM$20:$AM$119=$B$30),0),2),""))</f>
        <v/>
      </c>
      <c r="O30" s="249" t="str">
        <f t="array" ref="O30">IF(OR(O$11=1,O$11=7),"",IFERROR(INDEX($AM$20:$AP$119,MATCH(1,(O$8&gt;=$AO$20:$AO$119)*($AP$20:$AP$119&gt;=O$8)*($AM$20:$AM$119=$B$30),0),2),""))</f>
        <v/>
      </c>
      <c r="P30" s="249" t="str">
        <f t="array" ref="P30">IF(OR(P$11=1,P$11=7),"",IFERROR(INDEX($AM$20:$AP$119,MATCH(1,(P$8&gt;=$AO$20:$AO$119)*($AP$20:$AP$119&gt;=P$8)*($AM$20:$AM$119=$B$30),0),2),""))</f>
        <v/>
      </c>
      <c r="Q30" s="249" t="str">
        <f t="array" ref="Q30">IF(OR(Q$11=1,Q$11=7),"",IFERROR(INDEX($AM$20:$AP$119,MATCH(1,(Q$8&gt;=$AO$20:$AO$119)*($AP$20:$AP$119&gt;=Q$8)*($AM$20:$AM$119=$B$30),0),2),""))</f>
        <v/>
      </c>
      <c r="R30" s="249" t="str">
        <f t="array" ref="R30">IF(OR(R$11=1,R$11=7),"",IFERROR(INDEX($AM$20:$AP$119,MATCH(1,(R$8&gt;=$AO$20:$AO$119)*($AP$20:$AP$119&gt;=R$8)*($AM$20:$AM$119=$B$30),0),2),""))</f>
        <v/>
      </c>
      <c r="S30" s="249" t="str">
        <f t="array" ref="S30">IF(OR(S$11=1,S$11=7),"",IFERROR(INDEX($AM$20:$AP$119,MATCH(1,(S$8&gt;=$AO$20:$AO$119)*($AP$20:$AP$119&gt;=S$8)*($AM$20:$AM$119=$B$30),0),2),""))</f>
        <v/>
      </c>
      <c r="T30" s="249" t="str">
        <f t="array" ref="T30">IF(OR(T$11=1,T$11=7),"",IFERROR(INDEX($AM$20:$AP$119,MATCH(1,(T$8&gt;=$AO$20:$AO$119)*($AP$20:$AP$119&gt;=T$8)*($AM$20:$AM$119=$B$30),0),2),""))</f>
        <v/>
      </c>
      <c r="U30" s="249" t="str">
        <f t="array" ref="U30">IF(OR(U$11=1,U$11=7),"",IFERROR(INDEX($AM$20:$AP$119,MATCH(1,(U$8&gt;=$AO$20:$AO$119)*($AP$20:$AP$119&gt;=U$8)*($AM$20:$AM$119=$B$30),0),2),""))</f>
        <v/>
      </c>
      <c r="V30" s="249" t="str">
        <f t="array" ref="V30">IF(OR(V$11=1,V$11=7),"",IFERROR(INDEX($AM$20:$AP$119,MATCH(1,(V$8&gt;=$AO$20:$AO$119)*($AP$20:$AP$119&gt;=V$8)*($AM$20:$AM$119=$B$30),0),2),""))</f>
        <v/>
      </c>
      <c r="W30" s="249" t="str">
        <f t="array" ref="W30">IF(OR(W$11=1,W$11=7),"",IFERROR(INDEX($AM$20:$AP$119,MATCH(1,(W$8&gt;=$AO$20:$AO$119)*($AP$20:$AP$119&gt;=W$8)*($AM$20:$AM$119=$B$30),0),2),""))</f>
        <v/>
      </c>
      <c r="X30" s="249" t="str">
        <f t="array" ref="X30">IF(OR(X$11=1,X$11=7),"",IFERROR(INDEX($AM$20:$AP$119,MATCH(1,(X$8&gt;=$AO$20:$AO$119)*($AP$20:$AP$119&gt;=X$8)*($AM$20:$AM$119=$B$30),0),2),""))</f>
        <v/>
      </c>
      <c r="Y30" s="249" t="str">
        <f t="array" ref="Y30">IF(OR(Y$11=1,Y$11=7),"",IFERROR(INDEX($AM$20:$AP$119,MATCH(1,(Y$8&gt;=$AO$20:$AO$119)*($AP$20:$AP$119&gt;=Y$8)*($AM$20:$AM$119=$B$30),0),2),""))</f>
        <v/>
      </c>
      <c r="Z30" s="249" t="str">
        <f t="array" ref="Z30">IF(OR(Z$11=1,Z$11=7),"",IFERROR(INDEX($AM$20:$AP$119,MATCH(1,(Z$8&gt;=$AO$20:$AO$119)*($AP$20:$AP$119&gt;=Z$8)*($AM$20:$AM$119=$B$30),0),2),""))</f>
        <v/>
      </c>
      <c r="AA30" s="249" t="str">
        <f t="array" ref="AA30">IF(OR(AA$11=1,AA$11=7),"",IFERROR(INDEX($AM$20:$AP$119,MATCH(1,(AA$8&gt;=$AO$20:$AO$119)*($AP$20:$AP$119&gt;=AA$8)*($AM$20:$AM$119=$B$30),0),2),""))</f>
        <v/>
      </c>
      <c r="AB30" s="249" t="str">
        <f t="array" ref="AB30">IF(OR(AB$11=1,AB$11=7),"",IFERROR(INDEX($AM$20:$AP$119,MATCH(1,(AB$8&gt;=$AO$20:$AO$119)*($AP$20:$AP$119&gt;=AB$8)*($AM$20:$AM$119=$B$30),0),2),""))</f>
        <v/>
      </c>
      <c r="AC30" s="249" t="str">
        <f t="array" ref="AC30">IF(OR(AC$11=1,AC$11=7),"",IFERROR(INDEX($AM$20:$AP$119,MATCH(1,(AC$8&gt;=$AO$20:$AO$119)*($AP$20:$AP$119&gt;=AC$8)*($AM$20:$AM$119=$B$30),0),2),""))</f>
        <v/>
      </c>
      <c r="AD30" s="249" t="str">
        <f t="array" ref="AD30">IF(OR(AD$11=1,AD$11=7),"",IFERROR(INDEX($AM$20:$AP$119,MATCH(1,(AD$8&gt;=$AO$20:$AO$119)*($AP$20:$AP$119&gt;=AD$8)*($AM$20:$AM$119=$B$30),0),2),""))</f>
        <v/>
      </c>
      <c r="AE30" s="249" t="str">
        <f t="array" ref="AE30">IF(OR(AE$11=1,AE$11=7),"",IFERROR(INDEX($AM$20:$AP$119,MATCH(1,(AE$8&gt;=$AO$20:$AO$119)*($AP$20:$AP$119&gt;=AE$8)*($AM$20:$AM$119=$B$30),0),2),""))</f>
        <v/>
      </c>
      <c r="AF30" s="249" t="str">
        <f t="array" ref="AF30">IF(OR(AF$11=1,AF$11=7),"",IFERROR(INDEX($AM$20:$AP$119,MATCH(1,(AF$8&gt;=$AO$20:$AO$119)*($AP$20:$AP$119&gt;=AF$8)*($AM$20:$AM$119=$B$30),0),2),""))</f>
        <v/>
      </c>
      <c r="AG30" s="249" t="str">
        <f t="array" ref="AG30">IF(OR(AG$11=1,AG$11=7),"",IFERROR(INDEX($AM$20:$AP$119,MATCH(1,(AG$8&gt;=$AO$20:$AO$119)*($AP$20:$AP$119&gt;=AG$8)*($AM$20:$AM$119=$B$30),0),2),""))</f>
        <v/>
      </c>
      <c r="AH30" s="256" t="str">
        <f>B30</f>
        <v>nicolas</v>
      </c>
      <c r="AI30" s="709">
        <f>COUNTIF(C30:AG30,$AI$10)</f>
        <v>0</v>
      </c>
      <c r="AJ30" s="13"/>
      <c r="AK30" s="696" t="s">
        <v>853</v>
      </c>
      <c r="AL30" s="13">
        <v>11</v>
      </c>
      <c r="AM30" s="696" t="s">
        <v>858</v>
      </c>
      <c r="AN30" s="632" t="s">
        <v>7</v>
      </c>
      <c r="AO30" s="31">
        <v>43843</v>
      </c>
      <c r="AP30" s="31">
        <v>43846</v>
      </c>
      <c r="AQ30" s="635">
        <f>Absences268101214242[[#This Row],[debut]]</f>
        <v>43843</v>
      </c>
      <c r="AR30" s="13"/>
      <c r="AU30" s="13"/>
      <c r="AV30" s="70"/>
      <c r="AW30" s="57"/>
      <c r="AX30" s="57"/>
      <c r="AY30" s="57"/>
      <c r="AZ30" s="54"/>
      <c r="BA30" s="54"/>
      <c r="BB30" s="54"/>
      <c r="BC30" s="55"/>
      <c r="BD30" s="56"/>
      <c r="BE30" s="56"/>
      <c r="BF30" s="56"/>
      <c r="BG30" s="56"/>
      <c r="BI30" s="290"/>
      <c r="BJ30" s="352" t="s">
        <v>544</v>
      </c>
      <c r="BK30" s="315" t="s">
        <v>545</v>
      </c>
      <c r="BL30" s="292"/>
      <c r="BM30" s="292"/>
      <c r="BN30" s="292"/>
      <c r="BO30" s="294"/>
      <c r="BP30" s="316"/>
      <c r="BQ30" s="333" t="s">
        <v>668</v>
      </c>
      <c r="BR30" s="340">
        <v>13</v>
      </c>
      <c r="BS30" s="335">
        <v>0.29166666666666669</v>
      </c>
      <c r="BT30" s="336">
        <v>0.625</v>
      </c>
      <c r="BU30" s="337">
        <v>1</v>
      </c>
      <c r="BV30" s="338">
        <f t="shared" ref="BV30:BV42" si="6">(BT30-BS30)-("00:30"*BU30)</f>
        <v>0.3125</v>
      </c>
      <c r="BW30" s="331"/>
      <c r="BX30" s="313"/>
      <c r="BZ30" s="359">
        <f t="shared" si="5"/>
        <v>44423</v>
      </c>
      <c r="CA30" s="360">
        <f>DATE(BZ4+1,8,15)</f>
        <v>44423</v>
      </c>
      <c r="CB30" s="361" t="s">
        <v>586</v>
      </c>
      <c r="CC30" s="563"/>
      <c r="CD30" s="563"/>
      <c r="CE30" s="563"/>
    </row>
    <row r="31" spans="1:83" ht="21.75" thickBot="1" x14ac:dyDescent="0.3">
      <c r="A31" s="13"/>
      <c r="B31" s="611">
        <f>COUNTA(C31:AG31)</f>
        <v>0</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706">
        <f>COUNTIF(C30:AG30,$AH$11)</f>
        <v>0</v>
      </c>
      <c r="AI31" s="714">
        <f>COUNTIF(C30:AG30,$AI$11)</f>
        <v>0</v>
      </c>
      <c r="AJ31" s="13"/>
      <c r="AK31" s="697" t="s">
        <v>848</v>
      </c>
      <c r="AL31" s="13">
        <v>12</v>
      </c>
      <c r="AM31" s="11" t="s">
        <v>5</v>
      </c>
      <c r="AN31" s="628" t="s">
        <v>8</v>
      </c>
      <c r="AO31" s="31">
        <v>43905</v>
      </c>
      <c r="AP31" s="31">
        <v>43908</v>
      </c>
      <c r="AQ31" s="635">
        <f>Absences268101214242[[#This Row],[debut]]</f>
        <v>43905</v>
      </c>
      <c r="AR31" s="13"/>
      <c r="AU31" s="13"/>
      <c r="AV31" s="94" t="s">
        <v>90</v>
      </c>
      <c r="AW31" s="50">
        <v>0.29166666666666669</v>
      </c>
      <c r="AX31" s="50">
        <v>0.64583333333333337</v>
      </c>
      <c r="AY31" s="51">
        <v>1</v>
      </c>
      <c r="AZ31" s="52">
        <f>IF(AX31-AW31=0,0,(AX31-AW31)-(AY31*TIMEVALUE("00:30")))</f>
        <v>0.33333333333333337</v>
      </c>
      <c r="BA31" s="53" t="s">
        <v>128</v>
      </c>
      <c r="BB31" s="54"/>
      <c r="BC31" s="55"/>
      <c r="BD31" s="56"/>
      <c r="BE31" s="56"/>
      <c r="BF31" s="56"/>
      <c r="BG31" s="56"/>
      <c r="BI31" s="290"/>
      <c r="BJ31" s="351" t="s">
        <v>548</v>
      </c>
      <c r="BK31" s="315" t="s">
        <v>549</v>
      </c>
      <c r="BL31" s="292"/>
      <c r="BM31" s="292"/>
      <c r="BN31" s="292"/>
      <c r="BO31" s="294"/>
      <c r="BP31" s="316"/>
      <c r="BQ31" s="333" t="s">
        <v>669</v>
      </c>
      <c r="BR31" s="341">
        <v>13</v>
      </c>
      <c r="BS31" s="342">
        <v>0.5625</v>
      </c>
      <c r="BT31" s="343">
        <v>0.60416666666666663</v>
      </c>
      <c r="BU31" s="344">
        <v>0</v>
      </c>
      <c r="BV31" s="345">
        <f t="shared" si="6"/>
        <v>4.166666666666663E-2</v>
      </c>
      <c r="BW31" s="331"/>
      <c r="BX31" s="313"/>
      <c r="BZ31" s="359">
        <f t="shared" si="5"/>
        <v>44501</v>
      </c>
      <c r="CA31" s="360">
        <f>DATE(BZ4+1,11,1)</f>
        <v>44501</v>
      </c>
      <c r="CB31" s="361" t="s">
        <v>735</v>
      </c>
      <c r="CC31" s="563"/>
      <c r="CD31" s="563"/>
      <c r="CE31" s="563"/>
    </row>
    <row r="32" spans="1:83" ht="14.25" customHeight="1" x14ac:dyDescent="0.25">
      <c r="A32" s="13"/>
      <c r="B32" s="696" t="s">
        <v>853</v>
      </c>
      <c r="C32" s="249" t="str">
        <f t="array" ref="C32">IF(OR(C$11=1,C$11=7),"",IFERROR(INDEX($AM$20:$AP$119,MATCH(1,(C$8&gt;=$AO$20:$AO$119)*($AP$20:$AP$119&gt;=C$8)*($AM$20:$AM$119=$B$32),0),2),""))</f>
        <v/>
      </c>
      <c r="D32" s="249" t="str">
        <f t="array" ref="D32">IF(OR(D$11=1,D$11=7),"",IFERROR(INDEX($AM$20:$AP$119,MATCH(1,(D$8&gt;=$AO$20:$AO$119)*($AP$20:$AP$119&gt;=D$8)*($AM$20:$AM$119=$B$32),0),2),""))</f>
        <v/>
      </c>
      <c r="E32" s="249" t="str">
        <f t="array" ref="E32">IF(OR(E$11=1,E$11=7),"",IFERROR(INDEX($AM$20:$AP$119,MATCH(1,(E$8&gt;=$AO$20:$AO$119)*($AP$20:$AP$119&gt;=E$8)*($AM$20:$AM$119=$B$32),0),2),""))</f>
        <v/>
      </c>
      <c r="F32" s="249" t="str">
        <f t="array" ref="F32">IF(OR(F$11=1,F$11=7),"",IFERROR(INDEX($AM$20:$AP$119,MATCH(1,(F$8&gt;=$AO$20:$AO$119)*($AP$20:$AP$119&gt;=F$8)*($AM$20:$AM$119=$B$32),0),2),""))</f>
        <v/>
      </c>
      <c r="G32" s="249" t="str">
        <f t="array" ref="G32">IF(OR(G$11=1,G$11=7),"",IFERROR(INDEX($AM$20:$AP$119,MATCH(1,(G$8&gt;=$AO$20:$AO$119)*($AP$20:$AP$119&gt;=G$8)*($AM$20:$AM$119=$B$32),0),2),""))</f>
        <v/>
      </c>
      <c r="H32" s="249" t="str">
        <f t="array" ref="H32">IF(OR(H$11=1,H$11=7),"",IFERROR(INDEX($AM$20:$AP$119,MATCH(1,(H$8&gt;=$AO$20:$AO$119)*($AP$20:$AP$119&gt;=H$8)*($AM$20:$AM$119=$B$32),0),2),""))</f>
        <v/>
      </c>
      <c r="I32" s="249" t="str">
        <f t="array" ref="I32">IF(OR(I$11=1,I$11=7),"",IFERROR(INDEX($AM$20:$AP$119,MATCH(1,(I$8&gt;=$AO$20:$AO$119)*($AP$20:$AP$119&gt;=I$8)*($AM$20:$AM$119=$B$32),0),2),""))</f>
        <v>M</v>
      </c>
      <c r="J32" s="249" t="str">
        <f t="array" ref="J32">IF(OR(J$11=1,J$11=7),"",IFERROR(INDEX($AM$20:$AP$119,MATCH(1,(J$8&gt;=$AO$20:$AO$119)*($AP$20:$AP$119&gt;=J$8)*($AM$20:$AM$119=$B$32),0),2),""))</f>
        <v>M</v>
      </c>
      <c r="K32" s="249" t="str">
        <f t="array" ref="K32">IF(OR(K$11=1,K$11=7),"",IFERROR(INDEX($AM$20:$AP$119,MATCH(1,(K$8&gt;=$AO$20:$AO$119)*($AP$20:$AP$119&gt;=K$8)*($AM$20:$AM$119=$B$32),0),2),""))</f>
        <v>M</v>
      </c>
      <c r="L32" s="249" t="str">
        <f t="array" ref="L32">IF(OR(L$11=1,L$11=7),"",IFERROR(INDEX($AM$20:$AP$119,MATCH(1,(L$8&gt;=$AO$20:$AO$119)*($AP$20:$AP$119&gt;=L$8)*($AM$20:$AM$119=$B$32),0),2),""))</f>
        <v>M</v>
      </c>
      <c r="M32" s="249" t="str">
        <f t="array" ref="M32">IF(OR(M$11=1,M$11=7),"",IFERROR(INDEX($AM$20:$AP$119,MATCH(1,(M$8&gt;=$AO$20:$AO$119)*($AP$20:$AP$119&gt;=M$8)*($AM$20:$AM$119=$B$32),0),2),""))</f>
        <v/>
      </c>
      <c r="N32" s="249" t="str">
        <f t="array" ref="N32">IF(OR(N$11=1,N$11=7),"",IFERROR(INDEX($AM$20:$AP$119,MATCH(1,(N$8&gt;=$AO$20:$AO$119)*($AP$20:$AP$119&gt;=N$8)*($AM$20:$AM$119=$B$32),0),2),""))</f>
        <v/>
      </c>
      <c r="O32" s="249" t="str">
        <f t="array" ref="O32">IF(OR(O$11=1,O$11=7),"",IFERROR(INDEX($AM$20:$AP$119,MATCH(1,(O$8&gt;=$AO$20:$AO$119)*($AP$20:$AP$119&gt;=O$8)*($AM$20:$AM$119=$B$32),0),2),""))</f>
        <v>M</v>
      </c>
      <c r="P32" s="249" t="str">
        <f t="array" ref="P32">IF(OR(P$11=1,P$11=7),"",IFERROR(INDEX($AM$20:$AP$119,MATCH(1,(P$8&gt;=$AO$20:$AO$119)*($AP$20:$AP$119&gt;=P$8)*($AM$20:$AM$119=$B$32),0),2),""))</f>
        <v>M</v>
      </c>
      <c r="Q32" s="249" t="str">
        <f t="array" ref="Q32">IF(OR(Q$11=1,Q$11=7),"",IFERROR(INDEX($AM$20:$AP$119,MATCH(1,(Q$8&gt;=$AO$20:$AO$119)*($AP$20:$AP$119&gt;=Q$8)*($AM$20:$AM$119=$B$32),0),2),""))</f>
        <v>M</v>
      </c>
      <c r="R32" s="249" t="str">
        <f t="array" ref="R32">IF(OR(R$11=1,R$11=7),"",IFERROR(INDEX($AM$20:$AP$119,MATCH(1,(R$8&gt;=$AO$20:$AO$119)*($AP$20:$AP$119&gt;=R$8)*($AM$20:$AM$119=$B$32),0),2),""))</f>
        <v>M</v>
      </c>
      <c r="S32" s="249" t="str">
        <f t="array" ref="S32">IF(OR(S$11=1,S$11=7),"",IFERROR(INDEX($AM$20:$AP$119,MATCH(1,(S$8&gt;=$AO$20:$AO$119)*($AP$20:$AP$119&gt;=S$8)*($AM$20:$AM$119=$B$32),0),2),""))</f>
        <v>M</v>
      </c>
      <c r="T32" s="249" t="str">
        <f t="array" ref="T32">IF(OR(T$11=1,T$11=7),"",IFERROR(INDEX($AM$20:$AP$119,MATCH(1,(T$8&gt;=$AO$20:$AO$119)*($AP$20:$AP$119&gt;=T$8)*($AM$20:$AM$119=$B$32),0),2),""))</f>
        <v/>
      </c>
      <c r="U32" s="249" t="str">
        <f t="array" ref="U32">IF(OR(U$11=1,U$11=7),"",IFERROR(INDEX($AM$20:$AP$119,MATCH(1,(U$8&gt;=$AO$20:$AO$119)*($AP$20:$AP$119&gt;=U$8)*($AM$20:$AM$119=$B$32),0),2),""))</f>
        <v/>
      </c>
      <c r="V32" s="249" t="str">
        <f t="array" ref="V32">IF(OR(V$11=1,V$11=7),"",IFERROR(INDEX($AM$20:$AP$119,MATCH(1,(V$8&gt;=$AO$20:$AO$119)*($AP$20:$AP$119&gt;=V$8)*($AM$20:$AM$119=$B$32),0),2),""))</f>
        <v/>
      </c>
      <c r="W32" s="249" t="str">
        <f t="array" ref="W32">IF(OR(W$11=1,W$11=7),"",IFERROR(INDEX($AM$20:$AP$119,MATCH(1,(W$8&gt;=$AO$20:$AO$119)*($AP$20:$AP$119&gt;=W$8)*($AM$20:$AM$119=$B$32),0),2),""))</f>
        <v/>
      </c>
      <c r="X32" s="249" t="str">
        <f t="array" ref="X32">IF(OR(X$11=1,X$11=7),"",IFERROR(INDEX($AM$20:$AP$119,MATCH(1,(X$8&gt;=$AO$20:$AO$119)*($AP$20:$AP$119&gt;=X$8)*($AM$20:$AM$119=$B$32),0),2),""))</f>
        <v/>
      </c>
      <c r="Y32" s="249" t="str">
        <f t="array" ref="Y32">IF(OR(Y$11=1,Y$11=7),"",IFERROR(INDEX($AM$20:$AP$119,MATCH(1,(Y$8&gt;=$AO$20:$AO$119)*($AP$20:$AP$119&gt;=Y$8)*($AM$20:$AM$119=$B$32),0),2),""))</f>
        <v/>
      </c>
      <c r="Z32" s="249" t="str">
        <f t="array" ref="Z32">IF(OR(Z$11=1,Z$11=7),"",IFERROR(INDEX($AM$20:$AP$119,MATCH(1,(Z$8&gt;=$AO$20:$AO$119)*($AP$20:$AP$119&gt;=Z$8)*($AM$20:$AM$119=$B$32),0),2),""))</f>
        <v/>
      </c>
      <c r="AA32" s="249" t="str">
        <f t="array" ref="AA32">IF(OR(AA$11=1,AA$11=7),"",IFERROR(INDEX($AM$20:$AP$119,MATCH(1,(AA$8&gt;=$AO$20:$AO$119)*($AP$20:$AP$119&gt;=AA$8)*($AM$20:$AM$119=$B$32),0),2),""))</f>
        <v/>
      </c>
      <c r="AB32" s="249" t="str">
        <f t="array" ref="AB32">IF(OR(AB$11=1,AB$11=7),"",IFERROR(INDEX($AM$20:$AP$119,MATCH(1,(AB$8&gt;=$AO$20:$AO$119)*($AP$20:$AP$119&gt;=AB$8)*($AM$20:$AM$119=$B$32),0),2),""))</f>
        <v/>
      </c>
      <c r="AC32" s="249" t="str">
        <f t="array" ref="AC32">IF(OR(AC$11=1,AC$11=7),"",IFERROR(INDEX($AM$20:$AP$119,MATCH(1,(AC$8&gt;=$AO$20:$AO$119)*($AP$20:$AP$119&gt;=AC$8)*($AM$20:$AM$119=$B$32),0),2),""))</f>
        <v/>
      </c>
      <c r="AD32" s="249" t="str">
        <f t="array" ref="AD32">IF(OR(AD$11=1,AD$11=7),"",IFERROR(INDEX($AM$20:$AP$119,MATCH(1,(AD$8&gt;=$AO$20:$AO$119)*($AP$20:$AP$119&gt;=AD$8)*($AM$20:$AM$119=$B$32),0),2),""))</f>
        <v/>
      </c>
      <c r="AE32" s="249" t="str">
        <f t="array" ref="AE32">IF(OR(AE$11=1,AE$11=7),"",IFERROR(INDEX($AM$20:$AP$119,MATCH(1,(AE$8&gt;=$AO$20:$AO$119)*($AP$20:$AP$119&gt;=AE$8)*($AM$20:$AM$119=$B$32),0),2),""))</f>
        <v/>
      </c>
      <c r="AF32" s="249" t="str">
        <f t="array" ref="AF32">IF(OR(AF$11=1,AF$11=7),"",IFERROR(INDEX($AM$20:$AP$119,MATCH(1,(AF$8&gt;=$AO$20:$AO$119)*($AP$20:$AP$119&gt;=AF$8)*($AM$20:$AM$119=$B$32),0),2),""))</f>
        <v/>
      </c>
      <c r="AG32" s="249" t="str">
        <f t="array" ref="AG32">IF(OR(AG$11=1,AG$11=7),"",IFERROR(INDEX($AM$20:$AP$119,MATCH(1,(AG$8&gt;=$AO$20:$AO$119)*($AP$20:$AP$119&gt;=AG$8)*($AM$20:$AM$119=$B$32),0),2),""))</f>
        <v/>
      </c>
      <c r="AH32" s="256" t="str">
        <f>B32</f>
        <v>odette</v>
      </c>
      <c r="AI32" s="709">
        <f>COUNTIF(C32:AG32,$AI$10)</f>
        <v>0</v>
      </c>
      <c r="AJ32" s="13"/>
      <c r="AK32" s="696" t="s">
        <v>5</v>
      </c>
      <c r="AL32" s="13">
        <v>13</v>
      </c>
      <c r="AM32" s="11" t="s">
        <v>4</v>
      </c>
      <c r="AN32" s="629" t="s">
        <v>360</v>
      </c>
      <c r="AO32" s="31">
        <v>43831</v>
      </c>
      <c r="AP32" s="31">
        <v>43833</v>
      </c>
      <c r="AQ32" s="635">
        <f>Absences268101214242[[#This Row],[debut]]</f>
        <v>43831</v>
      </c>
      <c r="AR32" s="13"/>
      <c r="AU32" s="13"/>
      <c r="AV32" s="70"/>
      <c r="AW32" s="57"/>
      <c r="AX32" s="57"/>
      <c r="AY32" s="57"/>
      <c r="AZ32" s="54"/>
      <c r="BA32" s="54"/>
      <c r="BB32" s="54"/>
      <c r="BC32" s="55"/>
      <c r="BD32" s="56"/>
      <c r="BE32" s="56"/>
      <c r="BF32" s="56"/>
      <c r="BG32" s="56"/>
      <c r="BI32" s="290"/>
      <c r="BJ32" s="353" t="s">
        <v>670</v>
      </c>
      <c r="BK32" s="315" t="s">
        <v>550</v>
      </c>
      <c r="BL32" s="315"/>
      <c r="BM32" s="315"/>
      <c r="BN32" s="315"/>
      <c r="BO32" s="315"/>
      <c r="BP32" s="316"/>
      <c r="BQ32" s="333" t="s">
        <v>671</v>
      </c>
      <c r="BR32" s="340">
        <v>14</v>
      </c>
      <c r="BS32" s="335">
        <v>0.25</v>
      </c>
      <c r="BT32" s="336">
        <v>0.5625</v>
      </c>
      <c r="BU32" s="337">
        <v>1</v>
      </c>
      <c r="BV32" s="338">
        <f t="shared" si="6"/>
        <v>0.29166666666666669</v>
      </c>
      <c r="BW32" s="315"/>
      <c r="BX32" s="313"/>
      <c r="BZ32" s="359">
        <f t="shared" si="5"/>
        <v>44511</v>
      </c>
      <c r="CA32" s="360">
        <f>DATE(BZ4+1,11,11)</f>
        <v>44511</v>
      </c>
      <c r="CB32" s="361" t="s">
        <v>587</v>
      </c>
      <c r="CC32" s="563"/>
      <c r="CD32" s="563"/>
      <c r="CE32" s="563"/>
    </row>
    <row r="33" spans="1:83" ht="21.75" thickBot="1" x14ac:dyDescent="0.3">
      <c r="A33" s="13"/>
      <c r="B33" s="611">
        <f>COUNTA(C33:AG33)</f>
        <v>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706">
        <f>COUNTIF(C32:AG32,$AH$11)</f>
        <v>0</v>
      </c>
      <c r="AI33" s="714">
        <f>COUNTIF(C32:AG32,$AI$11)</f>
        <v>0</v>
      </c>
      <c r="AJ33" s="13"/>
      <c r="AK33" s="697" t="s">
        <v>850</v>
      </c>
      <c r="AL33" s="13">
        <v>14</v>
      </c>
      <c r="AM33" s="696" t="s">
        <v>853</v>
      </c>
      <c r="AN33" s="10" t="s">
        <v>6</v>
      </c>
      <c r="AO33" s="31">
        <v>43837</v>
      </c>
      <c r="AP33" s="31">
        <v>43847</v>
      </c>
      <c r="AQ33" s="635">
        <f>Absences268101214242[[#This Row],[debut]]</f>
        <v>43837</v>
      </c>
      <c r="AR33" s="13"/>
      <c r="AU33" s="13"/>
      <c r="AV33" s="94" t="s">
        <v>91</v>
      </c>
      <c r="AW33" s="50">
        <v>0.25</v>
      </c>
      <c r="AX33" s="50">
        <v>0.58333333333333337</v>
      </c>
      <c r="AY33" s="51">
        <v>1</v>
      </c>
      <c r="AZ33" s="52">
        <f>IF(AX33-AW33=0,0,(AX33-AW33)-(AY33*TIMEVALUE("00:30")))</f>
        <v>0.31250000000000006</v>
      </c>
      <c r="BA33" s="53" t="s">
        <v>69</v>
      </c>
      <c r="BB33" s="54"/>
      <c r="BC33" s="55"/>
      <c r="BD33" s="56"/>
      <c r="BE33" s="56"/>
      <c r="BF33" s="56"/>
      <c r="BG33" s="56"/>
      <c r="BI33" s="290"/>
      <c r="BJ33" s="354" t="s">
        <v>515</v>
      </c>
      <c r="BK33" s="315" t="s">
        <v>516</v>
      </c>
      <c r="BL33" s="294"/>
      <c r="BM33" s="294"/>
      <c r="BN33" s="294"/>
      <c r="BO33" s="294"/>
      <c r="BP33" s="316"/>
      <c r="BQ33" s="333" t="s">
        <v>672</v>
      </c>
      <c r="BR33" s="341">
        <v>14</v>
      </c>
      <c r="BS33" s="342">
        <v>0</v>
      </c>
      <c r="BT33" s="343">
        <v>0</v>
      </c>
      <c r="BU33" s="344">
        <v>0</v>
      </c>
      <c r="BV33" s="345">
        <f>(BT33-BS33)-("00:30"*BU33)</f>
        <v>0</v>
      </c>
      <c r="BW33" s="294"/>
      <c r="BX33" s="313"/>
      <c r="BZ33" s="359">
        <f t="shared" si="5"/>
        <v>44555</v>
      </c>
      <c r="CA33" s="360">
        <f>DATE(BZ4+1,12,25)</f>
        <v>44555</v>
      </c>
      <c r="CB33" s="361" t="s">
        <v>723</v>
      </c>
      <c r="CC33" s="563"/>
      <c r="CD33" s="563"/>
      <c r="CE33" s="563"/>
    </row>
    <row r="34" spans="1:83" ht="14.25" customHeight="1" x14ac:dyDescent="0.25">
      <c r="A34" s="13"/>
      <c r="B34" s="697" t="s">
        <v>848</v>
      </c>
      <c r="C34" s="249" t="str">
        <f t="array" ref="C34">IF(OR(C$11=1,C$11=7),"",IFERROR(INDEX($AM$20:$AP$119,MATCH(1,(C$8&gt;=$AO$20:$AO$119)*($AP$20:$AP$119&gt;=C$8)*($AM$20:$AM$119=$B$34),0),2),""))</f>
        <v/>
      </c>
      <c r="D34" s="249" t="str">
        <f t="array" ref="D34">IF(OR(D$11=1,D$11=7),"",IFERROR(INDEX($AM$20:$AP$119,MATCH(1,(D$8&gt;=$AO$20:$AO$119)*($AP$20:$AP$119&gt;=D$8)*($AM$20:$AM$119=$B$34),0),2),""))</f>
        <v/>
      </c>
      <c r="E34" s="249" t="str">
        <f t="array" ref="E34">IF(OR(E$11=1,E$11=7),"",IFERROR(INDEX($AM$20:$AP$119,MATCH(1,(E$8&gt;=$AO$20:$AO$119)*($AP$20:$AP$119&gt;=E$8)*($AM$20:$AM$119=$B$34),0),2),""))</f>
        <v/>
      </c>
      <c r="F34" s="249" t="str">
        <f t="array" ref="F34">IF(OR(F$11=1,F$11=7),"",IFERROR(INDEX($AM$20:$AP$119,MATCH(1,(F$8&gt;=$AO$20:$AO$119)*($AP$20:$AP$119&gt;=F$8)*($AM$20:$AM$119=$B$34),0),2),""))</f>
        <v/>
      </c>
      <c r="G34" s="249" t="str">
        <f t="array" ref="G34">IF(OR(G$11=1,G$11=7),"",IFERROR(INDEX($AM$20:$AP$119,MATCH(1,(G$8&gt;=$AO$20:$AO$119)*($AP$20:$AP$119&gt;=G$8)*($AM$20:$AM$119=$B$34),0),2),""))</f>
        <v/>
      </c>
      <c r="H34" s="249" t="str">
        <f t="array" ref="H34">IF(OR(H$11=1,H$11=7),"",IFERROR(INDEX($AM$20:$AP$119,MATCH(1,(H$8&gt;=$AO$20:$AO$119)*($AP$20:$AP$119&gt;=H$8)*($AM$20:$AM$119=$B$34),0),2),""))</f>
        <v/>
      </c>
      <c r="I34" s="249" t="str">
        <f t="array" ref="I34">IF(OR(I$11=1,I$11=7),"",IFERROR(INDEX($AM$20:$AP$119,MATCH(1,(I$8&gt;=$AO$20:$AO$119)*($AP$20:$AP$119&gt;=I$8)*($AM$20:$AM$119=$B$34),0),2),""))</f>
        <v/>
      </c>
      <c r="J34" s="249" t="str">
        <f t="array" ref="J34">IF(OR(J$11=1,J$11=7),"",IFERROR(INDEX($AM$20:$AP$119,MATCH(1,(J$8&gt;=$AO$20:$AO$119)*($AP$20:$AP$119&gt;=J$8)*($AM$20:$AM$119=$B$34),0),2),""))</f>
        <v/>
      </c>
      <c r="K34" s="249" t="str">
        <f t="array" ref="K34">IF(OR(K$11=1,K$11=7),"",IFERROR(INDEX($AM$20:$AP$119,MATCH(1,(K$8&gt;=$AO$20:$AO$119)*($AP$20:$AP$119&gt;=K$8)*($AM$20:$AM$119=$B$34),0),2),""))</f>
        <v/>
      </c>
      <c r="L34" s="249" t="str">
        <f t="array" ref="L34">IF(OR(L$11=1,L$11=7),"",IFERROR(INDEX($AM$20:$AP$119,MATCH(1,(L$8&gt;=$AO$20:$AO$119)*($AP$20:$AP$119&gt;=L$8)*($AM$20:$AM$119=$B$34),0),2),""))</f>
        <v/>
      </c>
      <c r="M34" s="249" t="str">
        <f t="array" ref="M34">IF(OR(M$11=1,M$11=7),"",IFERROR(INDEX($AM$20:$AP$119,MATCH(1,(M$8&gt;=$AO$20:$AO$119)*($AP$20:$AP$119&gt;=M$8)*($AM$20:$AM$119=$B$34),0),2),""))</f>
        <v/>
      </c>
      <c r="N34" s="249" t="str">
        <f t="array" ref="N34">IF(OR(N$11=1,N$11=7),"",IFERROR(INDEX($AM$20:$AP$119,MATCH(1,(N$8&gt;=$AO$20:$AO$119)*($AP$20:$AP$119&gt;=N$8)*($AM$20:$AM$119=$B$34),0),2),""))</f>
        <v/>
      </c>
      <c r="O34" s="249" t="str">
        <f t="array" ref="O34">IF(OR(O$11=1,O$11=7),"",IFERROR(INDEX($AM$20:$AP$119,MATCH(1,(O$8&gt;=$AO$20:$AO$119)*($AP$20:$AP$119&gt;=O$8)*($AM$20:$AM$119=$B$34),0),2),""))</f>
        <v/>
      </c>
      <c r="P34" s="249" t="str">
        <f t="array" ref="P34">IF(OR(P$11=1,P$11=7),"",IFERROR(INDEX($AM$20:$AP$119,MATCH(1,(P$8&gt;=$AO$20:$AO$119)*($AP$20:$AP$119&gt;=P$8)*($AM$20:$AM$119=$B$34),0),2),""))</f>
        <v/>
      </c>
      <c r="Q34" s="249" t="str">
        <f t="array" ref="Q34">IF(OR(Q$11=1,Q$11=7),"",IFERROR(INDEX($AM$20:$AP$119,MATCH(1,(Q$8&gt;=$AO$20:$AO$119)*($AP$20:$AP$119&gt;=Q$8)*($AM$20:$AM$119=$B$34),0),2),""))</f>
        <v/>
      </c>
      <c r="R34" s="249" t="str">
        <f t="array" ref="R34">IF(OR(R$11=1,R$11=7),"",IFERROR(INDEX($AM$20:$AP$119,MATCH(1,(R$8&gt;=$AO$20:$AO$119)*($AP$20:$AP$119&gt;=R$8)*($AM$20:$AM$119=$B$34),0),2),""))</f>
        <v/>
      </c>
      <c r="S34" s="249" t="str">
        <f t="array" ref="S34">IF(OR(S$11=1,S$11=7),"",IFERROR(INDEX($AM$20:$AP$119,MATCH(1,(S$8&gt;=$AO$20:$AO$119)*($AP$20:$AP$119&gt;=S$8)*($AM$20:$AM$119=$B$34),0),2),""))</f>
        <v/>
      </c>
      <c r="T34" s="249" t="str">
        <f t="array" ref="T34">IF(OR(T$11=1,T$11=7),"",IFERROR(INDEX($AM$20:$AP$119,MATCH(1,(T$8&gt;=$AO$20:$AO$119)*($AP$20:$AP$119&gt;=T$8)*($AM$20:$AM$119=$B$34),0),2),""))</f>
        <v/>
      </c>
      <c r="U34" s="249" t="str">
        <f t="array" ref="U34">IF(OR(U$11=1,U$11=7),"",IFERROR(INDEX($AM$20:$AP$119,MATCH(1,(U$8&gt;=$AO$20:$AO$119)*($AP$20:$AP$119&gt;=U$8)*($AM$20:$AM$119=$B$34),0),2),""))</f>
        <v/>
      </c>
      <c r="V34" s="249" t="str">
        <f t="array" ref="V34">IF(OR(V$11=1,V$11=7),"",IFERROR(INDEX($AM$20:$AP$119,MATCH(1,(V$8&gt;=$AO$20:$AO$119)*($AP$20:$AP$119&gt;=V$8)*($AM$20:$AM$119=$B$34),0),2),""))</f>
        <v/>
      </c>
      <c r="W34" s="249" t="str">
        <f t="array" ref="W34">IF(OR(W$11=1,W$11=7),"",IFERROR(INDEX($AM$20:$AP$119,MATCH(1,(W$8&gt;=$AO$20:$AO$119)*($AP$20:$AP$119&gt;=W$8)*($AM$20:$AM$119=$B$34),0),2),""))</f>
        <v/>
      </c>
      <c r="X34" s="249" t="str">
        <f t="array" ref="X34">IF(OR(X$11=1,X$11=7),"",IFERROR(INDEX($AM$20:$AP$119,MATCH(1,(X$8&gt;=$AO$20:$AO$119)*($AP$20:$AP$119&gt;=X$8)*($AM$20:$AM$119=$B$34),0),2),""))</f>
        <v/>
      </c>
      <c r="Y34" s="249" t="str">
        <f t="array" ref="Y34">IF(OR(Y$11=1,Y$11=7),"",IFERROR(INDEX($AM$20:$AP$119,MATCH(1,(Y$8&gt;=$AO$20:$AO$119)*($AP$20:$AP$119&gt;=Y$8)*($AM$20:$AM$119=$B$34),0),2),""))</f>
        <v/>
      </c>
      <c r="Z34" s="249" t="str">
        <f t="array" ref="Z34">IF(OR(Z$11=1,Z$11=7),"",IFERROR(INDEX($AM$20:$AP$119,MATCH(1,(Z$8&gt;=$AO$20:$AO$119)*($AP$20:$AP$119&gt;=Z$8)*($AM$20:$AM$119=$B$34),0),2),""))</f>
        <v/>
      </c>
      <c r="AA34" s="249" t="str">
        <f t="array" ref="AA34">IF(OR(AA$11=1,AA$11=7),"",IFERROR(INDEX($AM$20:$AP$119,MATCH(1,(AA$8&gt;=$AO$20:$AO$119)*($AP$20:$AP$119&gt;=AA$8)*($AM$20:$AM$119=$B$34),0),2),""))</f>
        <v/>
      </c>
      <c r="AB34" s="249" t="str">
        <f t="array" ref="AB34">IF(OR(AB$11=1,AB$11=7),"",IFERROR(INDEX($AM$20:$AP$119,MATCH(1,(AB$8&gt;=$AO$20:$AO$119)*($AP$20:$AP$119&gt;=AB$8)*($AM$20:$AM$119=$B$34),0),2),""))</f>
        <v/>
      </c>
      <c r="AC34" s="249" t="str">
        <f t="array" ref="AC34">IF(OR(AC$11=1,AC$11=7),"",IFERROR(INDEX($AM$20:$AP$119,MATCH(1,(AC$8&gt;=$AO$20:$AO$119)*($AP$20:$AP$119&gt;=AC$8)*($AM$20:$AM$119=$B$34),0),2),""))</f>
        <v/>
      </c>
      <c r="AD34" s="249" t="str">
        <f t="array" ref="AD34">IF(OR(AD$11=1,AD$11=7),"",IFERROR(INDEX($AM$20:$AP$119,MATCH(1,(AD$8&gt;=$AO$20:$AO$119)*($AP$20:$AP$119&gt;=AD$8)*($AM$20:$AM$119=$B$34),0),2),""))</f>
        <v/>
      </c>
      <c r="AE34" s="249" t="str">
        <f t="array" ref="AE34">IF(OR(AE$11=1,AE$11=7),"",IFERROR(INDEX($AM$20:$AP$119,MATCH(1,(AE$8&gt;=$AO$20:$AO$119)*($AP$20:$AP$119&gt;=AE$8)*($AM$20:$AM$119=$B$34),0),2),""))</f>
        <v/>
      </c>
      <c r="AF34" s="249" t="str">
        <f t="array" ref="AF34">IF(OR(AF$11=1,AF$11=7),"",IFERROR(INDEX($AM$20:$AP$119,MATCH(1,(AF$8&gt;=$AO$20:$AO$119)*($AP$20:$AP$119&gt;=AF$8)*($AM$20:$AM$119=$B$34),0),2),""))</f>
        <v/>
      </c>
      <c r="AG34" s="249" t="str">
        <f t="array" ref="AG34">IF(OR(AG$11=1,AG$11=7),"",IFERROR(INDEX($AM$20:$AP$119,MATCH(1,(AG$8&gt;=$AO$20:$AO$119)*($AP$20:$AP$119&gt;=AG$8)*($AM$20:$AM$119=$B$34),0),2),""))</f>
        <v/>
      </c>
      <c r="AH34" s="256" t="str">
        <f>B34</f>
        <v>robert</v>
      </c>
      <c r="AI34" s="709">
        <f>COUNTIF(C34:AG34,$AI$10)</f>
        <v>0</v>
      </c>
      <c r="AJ34" s="13"/>
      <c r="AK34" s="696" t="s">
        <v>854</v>
      </c>
      <c r="AL34" s="13">
        <v>15</v>
      </c>
      <c r="AN34" s="23"/>
      <c r="AO34" s="31"/>
      <c r="AP34" s="31"/>
      <c r="AQ34" s="635">
        <f>Absences268101214242[[#This Row],[debut]]</f>
        <v>0</v>
      </c>
      <c r="AR34" s="13"/>
      <c r="AS34" s="623" t="s">
        <v>826</v>
      </c>
      <c r="AT34" s="13"/>
      <c r="AU34" s="13"/>
      <c r="AV34" s="1506" t="s">
        <v>70</v>
      </c>
      <c r="AW34" s="1506"/>
      <c r="AX34" s="1506"/>
      <c r="AY34" s="1506"/>
      <c r="AZ34" s="1506"/>
      <c r="BA34" s="1506"/>
      <c r="BB34" s="1506"/>
      <c r="BC34" s="1506"/>
      <c r="BD34" s="1506"/>
      <c r="BE34" s="1506"/>
      <c r="BF34" s="1506"/>
      <c r="BG34" s="1506"/>
      <c r="BI34" s="290"/>
      <c r="BJ34" s="354" t="s">
        <v>518</v>
      </c>
      <c r="BK34" s="315" t="s">
        <v>519</v>
      </c>
      <c r="BL34" s="294"/>
      <c r="BM34" s="294"/>
      <c r="BN34" s="294"/>
      <c r="BO34" s="294"/>
      <c r="BP34" s="316"/>
      <c r="BQ34" s="333" t="s">
        <v>673</v>
      </c>
      <c r="BR34" s="340">
        <v>16</v>
      </c>
      <c r="BS34" s="335">
        <v>0.3125</v>
      </c>
      <c r="BT34" s="336">
        <v>0.5</v>
      </c>
      <c r="BU34" s="337">
        <v>1</v>
      </c>
      <c r="BV34" s="338">
        <f t="shared" si="6"/>
        <v>0.16666666666666666</v>
      </c>
      <c r="BW34" s="294"/>
      <c r="BX34" s="313"/>
      <c r="BZ34" s="366">
        <f>CA34</f>
        <v>44562</v>
      </c>
      <c r="CA34" s="367">
        <f>DATE(BZ4+2,1,1)</f>
        <v>44562</v>
      </c>
      <c r="CB34" s="368" t="s">
        <v>721</v>
      </c>
      <c r="CC34" s="563"/>
      <c r="CD34" s="563"/>
      <c r="CE34" s="563"/>
    </row>
    <row r="35" spans="1:83" ht="21.75" thickBot="1" x14ac:dyDescent="0.3">
      <c r="A35" s="13"/>
      <c r="B35" s="611">
        <f>COUNTA(C35:AG35)</f>
        <v>0</v>
      </c>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706">
        <f>COUNTIF(C34:AG34,$AH$11)</f>
        <v>0</v>
      </c>
      <c r="AI35" s="714">
        <f>COUNTIF(C34:AG34,$AI$11)</f>
        <v>0</v>
      </c>
      <c r="AJ35" s="13"/>
      <c r="AK35" s="1510" t="s">
        <v>860</v>
      </c>
      <c r="AL35" s="13">
        <v>16</v>
      </c>
      <c r="AN35" s="23"/>
      <c r="AO35" s="31"/>
      <c r="AP35" s="31"/>
      <c r="AQ35" s="635">
        <f>Absences268101214242[[#This Row],[debut]]</f>
        <v>0</v>
      </c>
      <c r="AR35" s="13"/>
      <c r="AS35" s="13"/>
      <c r="AT35" s="13"/>
      <c r="AU35" s="13"/>
      <c r="AV35" s="1506"/>
      <c r="AW35" s="1506"/>
      <c r="AX35" s="1506"/>
      <c r="AY35" s="1506"/>
      <c r="AZ35" s="1506"/>
      <c r="BA35" s="1506"/>
      <c r="BB35" s="1506"/>
      <c r="BC35" s="1506"/>
      <c r="BD35" s="1506"/>
      <c r="BE35" s="1506"/>
      <c r="BF35" s="1506"/>
      <c r="BG35" s="1506"/>
      <c r="BI35" s="290"/>
      <c r="BJ35" s="354" t="s">
        <v>520</v>
      </c>
      <c r="BK35" s="315" t="s">
        <v>521</v>
      </c>
      <c r="BL35" s="294"/>
      <c r="BM35" s="294"/>
      <c r="BN35" s="294"/>
      <c r="BO35" s="294"/>
      <c r="BP35" s="316"/>
      <c r="BQ35" s="333" t="s">
        <v>674</v>
      </c>
      <c r="BR35" s="340">
        <v>17</v>
      </c>
      <c r="BS35" s="335">
        <v>0.52083333333333337</v>
      </c>
      <c r="BT35" s="336">
        <v>0.66666666666666663</v>
      </c>
      <c r="BU35" s="337">
        <v>1</v>
      </c>
      <c r="BV35" s="338">
        <f t="shared" si="6"/>
        <v>0.12499999999999993</v>
      </c>
      <c r="BW35" s="294"/>
      <c r="BX35" s="313"/>
    </row>
    <row r="36" spans="1:83" ht="14.25" customHeight="1" x14ac:dyDescent="0.25">
      <c r="A36" s="13"/>
      <c r="B36" s="696" t="s">
        <v>5</v>
      </c>
      <c r="C36" s="249" t="str">
        <f t="array" ref="C36">IF(OR(C$11=1,C$11=7),"",IFERROR(INDEX($AM$20:$AP$119,MATCH(1,(C$8&gt;=$AO$20:$AO$119)*($AP$20:$AP$119&gt;=C$8)*($AM$20:$AM$119=$B$36),0),2),""))</f>
        <v/>
      </c>
      <c r="D36" s="249" t="str">
        <f t="array" ref="D36">IF(OR(D$11=1,D$11=7),"",IFERROR(INDEX($AM$20:$AP$119,MATCH(1,(D$8&gt;=$AO$20:$AO$119)*($AP$20:$AP$119&gt;=D$8)*($AM$20:$AM$119=$B$36),0),2),""))</f>
        <v/>
      </c>
      <c r="E36" s="249" t="str">
        <f t="array" ref="E36">IF(OR(E$11=1,E$11=7),"",IFERROR(INDEX($AM$20:$AP$119,MATCH(1,(E$8&gt;=$AO$20:$AO$119)*($AP$20:$AP$119&gt;=E$8)*($AM$20:$AM$119=$B$36),0),2),""))</f>
        <v/>
      </c>
      <c r="F36" s="249" t="str">
        <f t="array" ref="F36">IF(OR(F$11=1,F$11=7),"",IFERROR(INDEX($AM$20:$AP$119,MATCH(1,(F$8&gt;=$AO$20:$AO$119)*($AP$20:$AP$119&gt;=F$8)*($AM$20:$AM$119=$B$36),0),2),""))</f>
        <v/>
      </c>
      <c r="G36" s="249" t="str">
        <f t="array" ref="G36">IF(OR(G$11=1,G$11=7),"",IFERROR(INDEX($AM$20:$AP$119,MATCH(1,(G$8&gt;=$AO$20:$AO$119)*($AP$20:$AP$119&gt;=G$8)*($AM$20:$AM$119=$B$36),0),2),""))</f>
        <v/>
      </c>
      <c r="H36" s="249" t="str">
        <f t="array" ref="H36">IF(OR(H$11=1,H$11=7),"",IFERROR(INDEX($AM$20:$AP$119,MATCH(1,(H$8&gt;=$AO$20:$AO$119)*($AP$20:$AP$119&gt;=H$8)*($AM$20:$AM$119=$B$36),0),2),""))</f>
        <v/>
      </c>
      <c r="I36" s="249" t="str">
        <f t="array" ref="I36">IF(OR(I$11=1,I$11=7),"",IFERROR(INDEX($AM$20:$AP$119,MATCH(1,(I$8&gt;=$AO$20:$AO$119)*($AP$20:$AP$119&gt;=I$8)*($AM$20:$AM$119=$B$36),0),2),""))</f>
        <v/>
      </c>
      <c r="J36" s="249" t="str">
        <f t="array" ref="J36">IF(OR(J$11=1,J$11=7),"",IFERROR(INDEX($AM$20:$AP$119,MATCH(1,(J$8&gt;=$AO$20:$AO$119)*($AP$20:$AP$119&gt;=J$8)*($AM$20:$AM$119=$B$36),0),2),""))</f>
        <v>C</v>
      </c>
      <c r="K36" s="249" t="str">
        <f t="array" ref="K36">IF(OR(K$11=1,K$11=7),"",IFERROR(INDEX($AM$20:$AP$119,MATCH(1,(K$8&gt;=$AO$20:$AO$119)*($AP$20:$AP$119&gt;=K$8)*($AM$20:$AM$119=$B$36),0),2),""))</f>
        <v>C</v>
      </c>
      <c r="L36" s="249" t="str">
        <f t="array" ref="L36">IF(OR(L$11=1,L$11=7),"",IFERROR(INDEX($AM$20:$AP$119,MATCH(1,(L$8&gt;=$AO$20:$AO$119)*($AP$20:$AP$119&gt;=L$8)*($AM$20:$AM$119=$B$36),0),2),""))</f>
        <v>C</v>
      </c>
      <c r="M36" s="249" t="str">
        <f t="array" ref="M36">IF(OR(M$11=1,M$11=7),"",IFERROR(INDEX($AM$20:$AP$119,MATCH(1,(M$8&gt;=$AO$20:$AO$119)*($AP$20:$AP$119&gt;=M$8)*($AM$20:$AM$119=$B$36),0),2),""))</f>
        <v/>
      </c>
      <c r="N36" s="249" t="str">
        <f t="array" ref="N36">IF(OR(N$11=1,N$11=7),"",IFERROR(INDEX($AM$20:$AP$119,MATCH(1,(N$8&gt;=$AO$20:$AO$119)*($AP$20:$AP$119&gt;=N$8)*($AM$20:$AM$119=$B$36),0),2),""))</f>
        <v/>
      </c>
      <c r="O36" s="249" t="str">
        <f t="array" ref="O36">IF(OR(O$11=1,O$11=7),"",IFERROR(INDEX($AM$20:$AP$119,MATCH(1,(O$8&gt;=$AO$20:$AO$119)*($AP$20:$AP$119&gt;=O$8)*($AM$20:$AM$119=$B$36),0),2),""))</f>
        <v>C</v>
      </c>
      <c r="P36" s="249" t="str">
        <f t="array" ref="P36">IF(OR(P$11=1,P$11=7),"",IFERROR(INDEX($AM$20:$AP$119,MATCH(1,(P$8&gt;=$AO$20:$AO$119)*($AP$20:$AP$119&gt;=P$8)*($AM$20:$AM$119=$B$36),0),2),""))</f>
        <v>C</v>
      </c>
      <c r="Q36" s="249" t="str">
        <f t="array" ref="Q36">IF(OR(Q$11=1,Q$11=7),"",IFERROR(INDEX($AM$20:$AP$119,MATCH(1,(Q$8&gt;=$AO$20:$AO$119)*($AP$20:$AP$119&gt;=Q$8)*($AM$20:$AM$119=$B$36),0),2),""))</f>
        <v>C</v>
      </c>
      <c r="R36" s="249" t="str">
        <f t="array" ref="R36">IF(OR(R$11=1,R$11=7),"",IFERROR(INDEX($AM$20:$AP$119,MATCH(1,(R$8&gt;=$AO$20:$AO$119)*($AP$20:$AP$119&gt;=R$8)*($AM$20:$AM$119=$B$36),0),2),""))</f>
        <v/>
      </c>
      <c r="S36" s="249" t="str">
        <f t="array" ref="S36">IF(OR(S$11=1,S$11=7),"",IFERROR(INDEX($AM$20:$AP$119,MATCH(1,(S$8&gt;=$AO$20:$AO$119)*($AP$20:$AP$119&gt;=S$8)*($AM$20:$AM$119=$B$36),0),2),""))</f>
        <v/>
      </c>
      <c r="T36" s="249" t="str">
        <f t="array" ref="T36">IF(OR(T$11=1,T$11=7),"",IFERROR(INDEX($AM$20:$AP$119,MATCH(1,(T$8&gt;=$AO$20:$AO$119)*($AP$20:$AP$119&gt;=T$8)*($AM$20:$AM$119=$B$36),0),2),""))</f>
        <v/>
      </c>
      <c r="U36" s="249" t="str">
        <f t="array" ref="U36">IF(OR(U$11=1,U$11=7),"",IFERROR(INDEX($AM$20:$AP$119,MATCH(1,(U$8&gt;=$AO$20:$AO$119)*($AP$20:$AP$119&gt;=U$8)*($AM$20:$AM$119=$B$36),0),2),""))</f>
        <v/>
      </c>
      <c r="V36" s="249" t="str">
        <f t="array" ref="V36">IF(OR(V$11=1,V$11=7),"",IFERROR(INDEX($AM$20:$AP$119,MATCH(1,(V$8&gt;=$AO$20:$AO$119)*($AP$20:$AP$119&gt;=V$8)*($AM$20:$AM$119=$B$36),0),2),""))</f>
        <v/>
      </c>
      <c r="W36" s="249" t="str">
        <f t="array" ref="W36">IF(OR(W$11=1,W$11=7),"",IFERROR(INDEX($AM$20:$AP$119,MATCH(1,(W$8&gt;=$AO$20:$AO$119)*($AP$20:$AP$119&gt;=W$8)*($AM$20:$AM$119=$B$36),0),2),""))</f>
        <v/>
      </c>
      <c r="X36" s="249" t="str">
        <f t="array" ref="X36">IF(OR(X$11=1,X$11=7),"",IFERROR(INDEX($AM$20:$AP$119,MATCH(1,(X$8&gt;=$AO$20:$AO$119)*($AP$20:$AP$119&gt;=X$8)*($AM$20:$AM$119=$B$36),0),2),""))</f>
        <v/>
      </c>
      <c r="Y36" s="249" t="str">
        <f t="array" ref="Y36">IF(OR(Y$11=1,Y$11=7),"",IFERROR(INDEX($AM$20:$AP$119,MATCH(1,(Y$8&gt;=$AO$20:$AO$119)*($AP$20:$AP$119&gt;=Y$8)*($AM$20:$AM$119=$B$36),0),2),""))</f>
        <v/>
      </c>
      <c r="Z36" s="249" t="str">
        <f t="array" ref="Z36">IF(OR(Z$11=1,Z$11=7),"",IFERROR(INDEX($AM$20:$AP$119,MATCH(1,(Z$8&gt;=$AO$20:$AO$119)*($AP$20:$AP$119&gt;=Z$8)*($AM$20:$AM$119=$B$36),0),2),""))</f>
        <v/>
      </c>
      <c r="AA36" s="249" t="str">
        <f t="array" ref="AA36">IF(OR(AA$11=1,AA$11=7),"",IFERROR(INDEX($AM$20:$AP$119,MATCH(1,(AA$8&gt;=$AO$20:$AO$119)*($AP$20:$AP$119&gt;=AA$8)*($AM$20:$AM$119=$B$36),0),2),""))</f>
        <v/>
      </c>
      <c r="AB36" s="249" t="str">
        <f t="array" ref="AB36">IF(OR(AB$11=1,AB$11=7),"",IFERROR(INDEX($AM$20:$AP$119,MATCH(1,(AB$8&gt;=$AO$20:$AO$119)*($AP$20:$AP$119&gt;=AB$8)*($AM$20:$AM$119=$B$36),0),2),""))</f>
        <v/>
      </c>
      <c r="AC36" s="249" t="str">
        <f t="array" ref="AC36">IF(OR(AC$11=1,AC$11=7),"",IFERROR(INDEX($AM$20:$AP$119,MATCH(1,(AC$8&gt;=$AO$20:$AO$119)*($AP$20:$AP$119&gt;=AC$8)*($AM$20:$AM$119=$B$36),0),2),""))</f>
        <v/>
      </c>
      <c r="AD36" s="249" t="str">
        <f t="array" ref="AD36">IF(OR(AD$11=1,AD$11=7),"",IFERROR(INDEX($AM$20:$AP$119,MATCH(1,(AD$8&gt;=$AO$20:$AO$119)*($AP$20:$AP$119&gt;=AD$8)*($AM$20:$AM$119=$B$36),0),2),""))</f>
        <v/>
      </c>
      <c r="AE36" s="249" t="str">
        <f t="array" ref="AE36">IF(OR(AE$11=1,AE$11=7),"",IFERROR(INDEX($AM$20:$AP$119,MATCH(1,(AE$8&gt;=$AO$20:$AO$119)*($AP$20:$AP$119&gt;=AE$8)*($AM$20:$AM$119=$B$36),0),2),""))</f>
        <v/>
      </c>
      <c r="AF36" s="249" t="str">
        <f t="array" ref="AF36">IF(OR(AF$11=1,AF$11=7),"",IFERROR(INDEX($AM$20:$AP$119,MATCH(1,(AF$8&gt;=$AO$20:$AO$119)*($AP$20:$AP$119&gt;=AF$8)*($AM$20:$AM$119=$B$36),0),2),""))</f>
        <v/>
      </c>
      <c r="AG36" s="249" t="str">
        <f t="array" ref="AG36">IF(OR(AG$11=1,AG$11=7),"",IFERROR(INDEX($AM$20:$AP$119,MATCH(1,(AG$8&gt;=$AO$20:$AO$119)*($AP$20:$AP$119&gt;=AG$8)*($AM$20:$AM$119=$B$36),0),2),""))</f>
        <v/>
      </c>
      <c r="AH36" s="256" t="str">
        <f>B36</f>
        <v>sebastien</v>
      </c>
      <c r="AI36" s="709">
        <f>COUNTIF(C36:AG36,$AI$10)</f>
        <v>0</v>
      </c>
      <c r="AJ36" s="13"/>
      <c r="AK36" s="1511"/>
      <c r="AL36" s="13">
        <v>17</v>
      </c>
      <c r="AN36" s="23"/>
      <c r="AO36" s="31"/>
      <c r="AP36" s="31"/>
      <c r="AQ36" s="635">
        <f>Absences268101214242[[#This Row],[debut]]</f>
        <v>0</v>
      </c>
      <c r="AR36" s="13"/>
      <c r="AS36" s="13"/>
      <c r="AT36" s="13"/>
      <c r="AU36" s="13"/>
      <c r="AV36" s="71"/>
      <c r="AW36" s="54"/>
      <c r="AX36" s="54"/>
      <c r="AY36" s="54"/>
      <c r="AZ36" s="54"/>
      <c r="BA36" s="54"/>
      <c r="BB36" s="54"/>
      <c r="BC36" s="55"/>
      <c r="BD36" s="56"/>
      <c r="BE36" s="56"/>
      <c r="BF36" s="56"/>
      <c r="BG36" s="56"/>
      <c r="BI36" s="290"/>
      <c r="BJ36" s="354" t="s">
        <v>523</v>
      </c>
      <c r="BK36" s="315" t="s">
        <v>524</v>
      </c>
      <c r="BL36" s="294"/>
      <c r="BM36" s="294"/>
      <c r="BN36" s="294"/>
      <c r="BO36" s="294"/>
      <c r="BP36" s="316"/>
      <c r="BQ36" s="346" t="s">
        <v>675</v>
      </c>
      <c r="BR36" s="340">
        <v>18</v>
      </c>
      <c r="BS36" s="335">
        <v>0</v>
      </c>
      <c r="BT36" s="336">
        <v>0</v>
      </c>
      <c r="BU36" s="337">
        <v>0</v>
      </c>
      <c r="BV36" s="338">
        <f t="shared" si="6"/>
        <v>0</v>
      </c>
      <c r="BW36" s="294"/>
      <c r="BX36" s="313"/>
    </row>
    <row r="37" spans="1:83" ht="21.75" thickBot="1" x14ac:dyDescent="0.3">
      <c r="A37" s="13"/>
      <c r="B37" s="611">
        <f>COUNTA(C37:AG37)</f>
        <v>0</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706">
        <f>COUNTIF(C36:AG36,$AH$11)</f>
        <v>0</v>
      </c>
      <c r="AI37" s="714">
        <f>COUNTIF(C36:AG36,$AI$11)</f>
        <v>0</v>
      </c>
      <c r="AJ37" s="13"/>
      <c r="AK37" s="1511"/>
      <c r="AL37" s="13">
        <v>18</v>
      </c>
      <c r="AN37" s="23"/>
      <c r="AO37" s="31"/>
      <c r="AP37" s="31"/>
      <c r="AQ37" s="635">
        <f>Absences268101214242[[#This Row],[debut]]</f>
        <v>0</v>
      </c>
      <c r="AR37" s="13"/>
      <c r="AS37" s="13"/>
      <c r="AT37" s="13"/>
      <c r="AU37" s="13"/>
      <c r="AV37" s="94" t="s">
        <v>92</v>
      </c>
      <c r="AW37" s="50">
        <v>0.33333333333333331</v>
      </c>
      <c r="AX37" s="50">
        <v>0.5</v>
      </c>
      <c r="AY37" s="51">
        <v>0</v>
      </c>
      <c r="AZ37" s="52">
        <f>IF(AX37-AW37=0,0,(AX37-AW37)-(AY37*TIMEVALUE("00:30")))</f>
        <v>0.16666666666666669</v>
      </c>
      <c r="BA37" s="53" t="s">
        <v>71</v>
      </c>
      <c r="BB37" s="54"/>
      <c r="BC37" s="55"/>
      <c r="BD37" s="56"/>
      <c r="BE37" s="56"/>
      <c r="BF37" s="56"/>
      <c r="BG37" s="56"/>
      <c r="BI37" s="290"/>
      <c r="BJ37" s="354" t="s">
        <v>525</v>
      </c>
      <c r="BK37" s="315" t="s">
        <v>526</v>
      </c>
      <c r="BL37" s="294"/>
      <c r="BM37" s="294"/>
      <c r="BN37" s="294"/>
      <c r="BO37" s="294"/>
      <c r="BP37" s="316"/>
      <c r="BQ37" s="333"/>
      <c r="BR37" s="340">
        <v>19</v>
      </c>
      <c r="BS37" s="335">
        <v>0</v>
      </c>
      <c r="BT37" s="336">
        <v>0</v>
      </c>
      <c r="BU37" s="337">
        <v>0</v>
      </c>
      <c r="BV37" s="338">
        <f t="shared" si="6"/>
        <v>0</v>
      </c>
      <c r="BW37" s="294"/>
      <c r="BX37" s="313"/>
    </row>
    <row r="38" spans="1:83" ht="14.25" customHeight="1" x14ac:dyDescent="0.25">
      <c r="A38" s="13"/>
      <c r="B38" s="697" t="s">
        <v>850</v>
      </c>
      <c r="C38" s="249" t="str">
        <f t="array" ref="C38">IF(OR(C$11=1,C$11=7),"",IFERROR(INDEX($AM$20:$AP$119,MATCH(1,(C$8&gt;=$AO$20:$AO$119)*($AP$20:$AP$119&gt;=C$8)*($AM$20:$AM$119=$B$38),0),2),""))</f>
        <v/>
      </c>
      <c r="D38" s="249" t="str">
        <f t="array" ref="D38">IF(OR(D$11=1,D$11=7),"",IFERROR(INDEX($AM$20:$AP$119,MATCH(1,(D$8&gt;=$AO$20:$AO$119)*($AP$20:$AP$119&gt;=D$8)*($AM$20:$AM$119=$B$38),0),2),""))</f>
        <v/>
      </c>
      <c r="E38" s="249" t="str">
        <f t="array" ref="E38">IF(OR(E$11=1,E$11=7),"",IFERROR(INDEX($AM$20:$AP$119,MATCH(1,(E$8&gt;=$AO$20:$AO$119)*($AP$20:$AP$119&gt;=E$8)*($AM$20:$AM$119=$B$38),0),2),""))</f>
        <v/>
      </c>
      <c r="F38" s="249" t="str">
        <f t="array" ref="F38">IF(OR(F$11=1,F$11=7),"",IFERROR(INDEX($AM$20:$AP$119,MATCH(1,(F$8&gt;=$AO$20:$AO$119)*($AP$20:$AP$119&gt;=F$8)*($AM$20:$AM$119=$B$38),0),2),""))</f>
        <v/>
      </c>
      <c r="G38" s="249" t="str">
        <f t="array" ref="G38">IF(OR(G$11=1,G$11=7),"",IFERROR(INDEX($AM$20:$AP$119,MATCH(1,(G$8&gt;=$AO$20:$AO$119)*($AP$20:$AP$119&gt;=G$8)*($AM$20:$AM$119=$B$38),0),2),""))</f>
        <v/>
      </c>
      <c r="H38" s="249" t="str">
        <f t="array" ref="H38">IF(OR(H$11=1,H$11=7),"",IFERROR(INDEX($AM$20:$AP$119,MATCH(1,(H$8&gt;=$AO$20:$AO$119)*($AP$20:$AP$119&gt;=H$8)*($AM$20:$AM$119=$B$38),0),2),""))</f>
        <v/>
      </c>
      <c r="I38" s="249" t="str">
        <f t="array" ref="I38">IF(OR(I$11=1,I$11=7),"",IFERROR(INDEX($AM$20:$AP$119,MATCH(1,(I$8&gt;=$AO$20:$AO$119)*($AP$20:$AP$119&gt;=I$8)*($AM$20:$AM$119=$B$38),0),2),""))</f>
        <v/>
      </c>
      <c r="J38" s="249" t="str">
        <f t="array" ref="J38">IF(OR(J$11=1,J$11=7),"",IFERROR(INDEX($AM$20:$AP$119,MATCH(1,(J$8&gt;=$AO$20:$AO$119)*($AP$20:$AP$119&gt;=J$8)*($AM$20:$AM$119=$B$38),0),2),""))</f>
        <v/>
      </c>
      <c r="K38" s="249" t="str">
        <f t="array" ref="K38">IF(OR(K$11=1,K$11=7),"",IFERROR(INDEX($AM$20:$AP$119,MATCH(1,(K$8&gt;=$AO$20:$AO$119)*($AP$20:$AP$119&gt;=K$8)*($AM$20:$AM$119=$B$38),0),2),""))</f>
        <v/>
      </c>
      <c r="L38" s="249" t="str">
        <f t="array" ref="L38">IF(OR(L$11=1,L$11=7),"",IFERROR(INDEX($AM$20:$AP$119,MATCH(1,(L$8&gt;=$AO$20:$AO$119)*($AP$20:$AP$119&gt;=L$8)*($AM$20:$AM$119=$B$38),0),2),""))</f>
        <v/>
      </c>
      <c r="M38" s="249" t="str">
        <f t="array" ref="M38">IF(OR(M$11=1,M$11=7),"",IFERROR(INDEX($AM$20:$AP$119,MATCH(1,(M$8&gt;=$AO$20:$AO$119)*($AP$20:$AP$119&gt;=M$8)*($AM$20:$AM$119=$B$38),0),2),""))</f>
        <v/>
      </c>
      <c r="N38" s="249" t="str">
        <f t="array" ref="N38">IF(OR(N$11=1,N$11=7),"",IFERROR(INDEX($AM$20:$AP$119,MATCH(1,(N$8&gt;=$AO$20:$AO$119)*($AP$20:$AP$119&gt;=N$8)*($AM$20:$AM$119=$B$38),0),2),""))</f>
        <v/>
      </c>
      <c r="O38" s="249" t="str">
        <f t="array" ref="O38">IF(OR(O$11=1,O$11=7),"",IFERROR(INDEX($AM$20:$AP$119,MATCH(1,(O$8&gt;=$AO$20:$AO$119)*($AP$20:$AP$119&gt;=O$8)*($AM$20:$AM$119=$B$38),0),2),""))</f>
        <v/>
      </c>
      <c r="P38" s="249" t="str">
        <f t="array" ref="P38">IF(OR(P$11=1,P$11=7),"",IFERROR(INDEX($AM$20:$AP$119,MATCH(1,(P$8&gt;=$AO$20:$AO$119)*($AP$20:$AP$119&gt;=P$8)*($AM$20:$AM$119=$B$38),0),2),""))</f>
        <v/>
      </c>
      <c r="Q38" s="249" t="str">
        <f t="array" ref="Q38">IF(OR(Q$11=1,Q$11=7),"",IFERROR(INDEX($AM$20:$AP$119,MATCH(1,(Q$8&gt;=$AO$20:$AO$119)*($AP$20:$AP$119&gt;=Q$8)*($AM$20:$AM$119=$B$38),0),2),""))</f>
        <v/>
      </c>
      <c r="R38" s="249" t="str">
        <f t="array" ref="R38">IF(OR(R$11=1,R$11=7),"",IFERROR(INDEX($AM$20:$AP$119,MATCH(1,(R$8&gt;=$AO$20:$AO$119)*($AP$20:$AP$119&gt;=R$8)*($AM$20:$AM$119=$B$38),0),2),""))</f>
        <v/>
      </c>
      <c r="S38" s="249" t="str">
        <f t="array" ref="S38">IF(OR(S$11=1,S$11=7),"",IFERROR(INDEX($AM$20:$AP$119,MATCH(1,(S$8&gt;=$AO$20:$AO$119)*($AP$20:$AP$119&gt;=S$8)*($AM$20:$AM$119=$B$38),0),2),""))</f>
        <v/>
      </c>
      <c r="T38" s="249" t="str">
        <f t="array" ref="T38">IF(OR(T$11=1,T$11=7),"",IFERROR(INDEX($AM$20:$AP$119,MATCH(1,(T$8&gt;=$AO$20:$AO$119)*($AP$20:$AP$119&gt;=T$8)*($AM$20:$AM$119=$B$38),0),2),""))</f>
        <v/>
      </c>
      <c r="U38" s="249" t="str">
        <f t="array" ref="U38">IF(OR(U$11=1,U$11=7),"",IFERROR(INDEX($AM$20:$AP$119,MATCH(1,(U$8&gt;=$AO$20:$AO$119)*($AP$20:$AP$119&gt;=U$8)*($AM$20:$AM$119=$B$38),0),2),""))</f>
        <v/>
      </c>
      <c r="V38" s="249" t="str">
        <f t="array" ref="V38">IF(OR(V$11=1,V$11=7),"",IFERROR(INDEX($AM$20:$AP$119,MATCH(1,(V$8&gt;=$AO$20:$AO$119)*($AP$20:$AP$119&gt;=V$8)*($AM$20:$AM$119=$B$38),0),2),""))</f>
        <v/>
      </c>
      <c r="W38" s="249" t="str">
        <f t="array" ref="W38">IF(OR(W$11=1,W$11=7),"",IFERROR(INDEX($AM$20:$AP$119,MATCH(1,(W$8&gt;=$AO$20:$AO$119)*($AP$20:$AP$119&gt;=W$8)*($AM$20:$AM$119=$B$38),0),2),""))</f>
        <v/>
      </c>
      <c r="X38" s="249" t="str">
        <f t="array" ref="X38">IF(OR(X$11=1,X$11=7),"",IFERROR(INDEX($AM$20:$AP$119,MATCH(1,(X$8&gt;=$AO$20:$AO$119)*($AP$20:$AP$119&gt;=X$8)*($AM$20:$AM$119=$B$38),0),2),""))</f>
        <v/>
      </c>
      <c r="Y38" s="249" t="str">
        <f t="array" ref="Y38">IF(OR(Y$11=1,Y$11=7),"",IFERROR(INDEX($AM$20:$AP$119,MATCH(1,(Y$8&gt;=$AO$20:$AO$119)*($AP$20:$AP$119&gt;=Y$8)*($AM$20:$AM$119=$B$38),0),2),""))</f>
        <v/>
      </c>
      <c r="Z38" s="249" t="str">
        <f t="array" ref="Z38">IF(OR(Z$11=1,Z$11=7),"",IFERROR(INDEX($AM$20:$AP$119,MATCH(1,(Z$8&gt;=$AO$20:$AO$119)*($AP$20:$AP$119&gt;=Z$8)*($AM$20:$AM$119=$B$38),0),2),""))</f>
        <v/>
      </c>
      <c r="AA38" s="249" t="str">
        <f t="array" ref="AA38">IF(OR(AA$11=1,AA$11=7),"",IFERROR(INDEX($AM$20:$AP$119,MATCH(1,(AA$8&gt;=$AO$20:$AO$119)*($AP$20:$AP$119&gt;=AA$8)*($AM$20:$AM$119=$B$38),0),2),""))</f>
        <v/>
      </c>
      <c r="AB38" s="249" t="str">
        <f t="array" ref="AB38">IF(OR(AB$11=1,AB$11=7),"",IFERROR(INDEX($AM$20:$AP$119,MATCH(1,(AB$8&gt;=$AO$20:$AO$119)*($AP$20:$AP$119&gt;=AB$8)*($AM$20:$AM$119=$B$38),0),2),""))</f>
        <v/>
      </c>
      <c r="AC38" s="249" t="str">
        <f t="array" ref="AC38">IF(OR(AC$11=1,AC$11=7),"",IFERROR(INDEX($AM$20:$AP$119,MATCH(1,(AC$8&gt;=$AO$20:$AO$119)*($AP$20:$AP$119&gt;=AC$8)*($AM$20:$AM$119=$B$38),0),2),""))</f>
        <v/>
      </c>
      <c r="AD38" s="249" t="str">
        <f t="array" ref="AD38">IF(OR(AD$11=1,AD$11=7),"",IFERROR(INDEX($AM$20:$AP$119,MATCH(1,(AD$8&gt;=$AO$20:$AO$119)*($AP$20:$AP$119&gt;=AD$8)*($AM$20:$AM$119=$B$38),0),2),""))</f>
        <v/>
      </c>
      <c r="AE38" s="249" t="str">
        <f t="array" ref="AE38">IF(OR(AE$11=1,AE$11=7),"",IFERROR(INDEX($AM$20:$AP$119,MATCH(1,(AE$8&gt;=$AO$20:$AO$119)*($AP$20:$AP$119&gt;=AE$8)*($AM$20:$AM$119=$B$38),0),2),""))</f>
        <v/>
      </c>
      <c r="AF38" s="249" t="str">
        <f t="array" ref="AF38">IF(OR(AF$11=1,AF$11=7),"",IFERROR(INDEX($AM$20:$AP$119,MATCH(1,(AF$8&gt;=$AO$20:$AO$119)*($AP$20:$AP$119&gt;=AF$8)*($AM$20:$AM$119=$B$38),0),2),""))</f>
        <v/>
      </c>
      <c r="AG38" s="249" t="str">
        <f t="array" ref="AG38">IF(OR(AG$11=1,AG$11=7),"",IFERROR(INDEX($AM$20:$AP$119,MATCH(1,(AG$8&gt;=$AO$20:$AO$119)*($AP$20:$AP$119&gt;=AG$8)*($AM$20:$AM$119=$B$38),0),2),""))</f>
        <v/>
      </c>
      <c r="AH38" s="256" t="str">
        <f>B38</f>
        <v>viviane</v>
      </c>
      <c r="AI38" s="709">
        <f>COUNTIF(C38:AG38,$AI$10)</f>
        <v>0</v>
      </c>
      <c r="AJ38" s="13"/>
      <c r="AK38" s="1511"/>
      <c r="AL38" s="13">
        <v>19</v>
      </c>
      <c r="AN38" s="23"/>
      <c r="AO38" s="31"/>
      <c r="AP38" s="31"/>
      <c r="AQ38" s="635">
        <f>Absences268101214242[[#This Row],[debut]]</f>
        <v>0</v>
      </c>
      <c r="AR38" s="13"/>
      <c r="AS38" s="13"/>
      <c r="AT38" s="13"/>
      <c r="AU38" s="13"/>
      <c r="AV38" s="70"/>
      <c r="AW38" s="57"/>
      <c r="AX38" s="57"/>
      <c r="AY38" s="57"/>
      <c r="AZ38" s="54"/>
      <c r="BA38" s="54"/>
      <c r="BB38" s="54"/>
      <c r="BC38" s="55"/>
      <c r="BD38" s="56"/>
      <c r="BE38" s="56"/>
      <c r="BF38" s="56"/>
      <c r="BG38" s="56"/>
      <c r="BI38" s="290"/>
      <c r="BJ38" s="353" t="s">
        <v>528</v>
      </c>
      <c r="BK38" s="315" t="s">
        <v>529</v>
      </c>
      <c r="BL38" s="294"/>
      <c r="BM38" s="294"/>
      <c r="BN38" s="294"/>
      <c r="BO38" s="294"/>
      <c r="BP38" s="316"/>
      <c r="BQ38" s="333" t="s">
        <v>676</v>
      </c>
      <c r="BR38" s="340">
        <v>20</v>
      </c>
      <c r="BS38" s="335">
        <v>0.29166666666666669</v>
      </c>
      <c r="BT38" s="336">
        <v>0.5625</v>
      </c>
      <c r="BU38" s="337">
        <v>1</v>
      </c>
      <c r="BV38" s="338">
        <f t="shared" si="6"/>
        <v>0.24999999999999997</v>
      </c>
      <c r="BW38" s="294"/>
      <c r="BX38" s="313"/>
    </row>
    <row r="39" spans="1:83" ht="21.75" thickBot="1" x14ac:dyDescent="0.3">
      <c r="A39" s="13"/>
      <c r="B39" s="611">
        <f>COUNTA(C39:AG39)</f>
        <v>0</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706">
        <f>COUNTIF(C38:AG38,$AH$11)</f>
        <v>0</v>
      </c>
      <c r="AI39" s="714">
        <f>COUNTIF(C38:AG38,$AI$11)</f>
        <v>0</v>
      </c>
      <c r="AJ39" s="13"/>
      <c r="AK39" s="1511"/>
      <c r="AL39" s="13">
        <v>20</v>
      </c>
      <c r="AN39" s="23"/>
      <c r="AO39" s="31"/>
      <c r="AP39" s="31"/>
      <c r="AQ39" s="635">
        <f>Absences268101214242[[#This Row],[debut]]</f>
        <v>0</v>
      </c>
      <c r="AR39" s="13"/>
      <c r="AS39" s="13"/>
      <c r="AT39" s="13"/>
      <c r="AU39" s="13"/>
      <c r="AV39" s="94" t="s">
        <v>93</v>
      </c>
      <c r="AW39" s="50">
        <v>0.29166666666666669</v>
      </c>
      <c r="AX39" s="50">
        <v>0.625</v>
      </c>
      <c r="AY39" s="51">
        <v>1</v>
      </c>
      <c r="AZ39" s="52">
        <f>IF(AX39-AW39=0,0,(AX39-AW39)-(AY39*TIMEVALUE("00:30")))</f>
        <v>0.3125</v>
      </c>
      <c r="BA39" s="53" t="s">
        <v>129</v>
      </c>
      <c r="BB39" s="54"/>
      <c r="BC39" s="55"/>
      <c r="BD39" s="56"/>
      <c r="BE39" s="56"/>
      <c r="BF39" s="56"/>
      <c r="BG39" s="56"/>
      <c r="BI39" s="290"/>
      <c r="BJ39" s="354" t="s">
        <v>530</v>
      </c>
      <c r="BK39" s="315" t="s">
        <v>531</v>
      </c>
      <c r="BL39" s="294"/>
      <c r="BM39" s="294"/>
      <c r="BN39" s="294"/>
      <c r="BO39" s="294"/>
      <c r="BP39" s="316"/>
      <c r="BQ39" s="347"/>
      <c r="BR39" s="340">
        <v>21</v>
      </c>
      <c r="BS39" s="335">
        <v>0</v>
      </c>
      <c r="BT39" s="336">
        <v>0</v>
      </c>
      <c r="BU39" s="337">
        <v>0</v>
      </c>
      <c r="BV39" s="338">
        <f t="shared" si="6"/>
        <v>0</v>
      </c>
      <c r="BW39" s="294"/>
      <c r="BX39" s="313"/>
    </row>
    <row r="40" spans="1:83" ht="14.25" customHeight="1" x14ac:dyDescent="0.25">
      <c r="A40" s="13"/>
      <c r="B40" s="696" t="s">
        <v>854</v>
      </c>
      <c r="C40" s="249" t="str">
        <f t="array" ref="C40">IF(OR(C$11=1,C$11=7),"",IFERROR(INDEX($AM$20:$AP$119,MATCH(1,(C$8&gt;=$AO$20:$AO$119)*($AP$20:$AP$119&gt;=C$8)*($AM$20:$AM$119=$B$40),0),2),""))</f>
        <v/>
      </c>
      <c r="D40" s="249" t="str">
        <f t="array" ref="D40">IF(OR(D$11=1,D$11=7),"",IFERROR(INDEX($AM$20:$AP$119,MATCH(1,(D$8&gt;=$AO$20:$AO$119)*($AP$20:$AP$119&gt;=D$8)*($AM$20:$AM$119=$B$40),0),2),""))</f>
        <v/>
      </c>
      <c r="E40" s="249" t="str">
        <f t="array" ref="E40">IF(OR(E$11=1,E$11=7),"",IFERROR(INDEX($AM$20:$AP$119,MATCH(1,(E$8&gt;=$AO$20:$AO$119)*($AP$20:$AP$119&gt;=E$8)*($AM$20:$AM$119=$B$40),0),2),""))</f>
        <v/>
      </c>
      <c r="F40" s="249" t="str">
        <f t="array" ref="F40">IF(OR(F$11=1,F$11=7),"",IFERROR(INDEX($AM$20:$AP$119,MATCH(1,(F$8&gt;=$AO$20:$AO$119)*($AP$20:$AP$119&gt;=F$8)*($AM$20:$AM$119=$B$40),0),2),""))</f>
        <v/>
      </c>
      <c r="G40" s="249" t="str">
        <f t="array" ref="G40">IF(OR(G$11=1,G$11=7),"",IFERROR(INDEX($AM$20:$AP$119,MATCH(1,(G$8&gt;=$AO$20:$AO$119)*($AP$20:$AP$119&gt;=G$8)*($AM$20:$AM$119=$B$40),0),2),""))</f>
        <v/>
      </c>
      <c r="H40" s="249" t="str">
        <f t="array" ref="H40">IF(OR(H$11=1,H$11=7),"",IFERROR(INDEX($AM$20:$AP$119,MATCH(1,(H$8&gt;=$AO$20:$AO$119)*($AP$20:$AP$119&gt;=H$8)*($AM$20:$AM$119=$B$40),0),2),""))</f>
        <v/>
      </c>
      <c r="I40" s="249" t="str">
        <f t="array" ref="I40">IF(OR(I$11=1,I$11=7),"",IFERROR(INDEX($AM$20:$AP$119,MATCH(1,(I$8&gt;=$AO$20:$AO$119)*($AP$20:$AP$119&gt;=I$8)*($AM$20:$AM$119=$B$40),0),2),""))</f>
        <v/>
      </c>
      <c r="J40" s="249" t="str">
        <f t="array" ref="J40">IF(OR(J$11=1,J$11=7),"",IFERROR(INDEX($AM$20:$AP$119,MATCH(1,(J$8&gt;=$AO$20:$AO$119)*($AP$20:$AP$119&gt;=J$8)*($AM$20:$AM$119=$B$40),0),2),""))</f>
        <v/>
      </c>
      <c r="K40" s="249" t="str">
        <f t="array" ref="K40">IF(OR(K$11=1,K$11=7),"",IFERROR(INDEX($AM$20:$AP$119,MATCH(1,(K$8&gt;=$AO$20:$AO$119)*($AP$20:$AP$119&gt;=K$8)*($AM$20:$AM$119=$B$40),0),2),""))</f>
        <v/>
      </c>
      <c r="L40" s="249" t="str">
        <f t="array" ref="L40">IF(OR(L$11=1,L$11=7),"",IFERROR(INDEX($AM$20:$AP$119,MATCH(1,(L$8&gt;=$AO$20:$AO$119)*($AP$20:$AP$119&gt;=L$8)*($AM$20:$AM$119=$B$40),0),2),""))</f>
        <v/>
      </c>
      <c r="M40" s="249" t="str">
        <f t="array" ref="M40">IF(OR(M$11=1,M$11=7),"",IFERROR(INDEX($AM$20:$AP$119,MATCH(1,(M$8&gt;=$AO$20:$AO$119)*($AP$20:$AP$119&gt;=M$8)*($AM$20:$AM$119=$B$40),0),2),""))</f>
        <v/>
      </c>
      <c r="N40" s="249" t="str">
        <f t="array" ref="N40">IF(OR(N$11=1,N$11=7),"",IFERROR(INDEX($AM$20:$AP$119,MATCH(1,(N$8&gt;=$AO$20:$AO$119)*($AP$20:$AP$119&gt;=N$8)*($AM$20:$AM$119=$B$40),0),2),""))</f>
        <v/>
      </c>
      <c r="O40" s="249" t="str">
        <f t="array" ref="O40">IF(OR(O$11=1,O$11=7),"",IFERROR(INDEX($AM$20:$AP$119,MATCH(1,(O$8&gt;=$AO$20:$AO$119)*($AP$20:$AP$119&gt;=O$8)*($AM$20:$AM$119=$B$40),0),2),""))</f>
        <v/>
      </c>
      <c r="P40" s="249" t="str">
        <f t="array" ref="P40">IF(OR(P$11=1,P$11=7),"",IFERROR(INDEX($AM$20:$AP$119,MATCH(1,(P$8&gt;=$AO$20:$AO$119)*($AP$20:$AP$119&gt;=P$8)*($AM$20:$AM$119=$B$40),0),2),""))</f>
        <v/>
      </c>
      <c r="Q40" s="249" t="str">
        <f t="array" ref="Q40">IF(OR(Q$11=1,Q$11=7),"",IFERROR(INDEX($AM$20:$AP$119,MATCH(1,(Q$8&gt;=$AO$20:$AO$119)*($AP$20:$AP$119&gt;=Q$8)*($AM$20:$AM$119=$B$40),0),2),""))</f>
        <v/>
      </c>
      <c r="R40" s="249" t="str">
        <f t="array" ref="R40">IF(OR(R$11=1,R$11=7),"",IFERROR(INDEX($AM$20:$AP$119,MATCH(1,(R$8&gt;=$AO$20:$AO$119)*($AP$20:$AP$119&gt;=R$8)*($AM$20:$AM$119=$B$40),0),2),""))</f>
        <v/>
      </c>
      <c r="S40" s="249" t="str">
        <f t="array" ref="S40">IF(OR(S$11=1,S$11=7),"",IFERROR(INDEX($AM$20:$AP$119,MATCH(1,(S$8&gt;=$AO$20:$AO$119)*($AP$20:$AP$119&gt;=S$8)*($AM$20:$AM$119=$B$40),0),2),""))</f>
        <v/>
      </c>
      <c r="T40" s="249" t="str">
        <f t="array" ref="T40">IF(OR(T$11=1,T$11=7),"",IFERROR(INDEX($AM$20:$AP$119,MATCH(1,(T$8&gt;=$AO$20:$AO$119)*($AP$20:$AP$119&gt;=T$8)*($AM$20:$AM$119=$B$40),0),2),""))</f>
        <v/>
      </c>
      <c r="U40" s="249" t="str">
        <f t="array" ref="U40">IF(OR(U$11=1,U$11=7),"",IFERROR(INDEX($AM$20:$AP$119,MATCH(1,(U$8&gt;=$AO$20:$AO$119)*($AP$20:$AP$119&gt;=U$8)*($AM$20:$AM$119=$B$40),0),2),""))</f>
        <v/>
      </c>
      <c r="V40" s="249" t="str">
        <f t="array" ref="V40">IF(OR(V$11=1,V$11=7),"",IFERROR(INDEX($AM$20:$AP$119,MATCH(1,(V$8&gt;=$AO$20:$AO$119)*($AP$20:$AP$119&gt;=V$8)*($AM$20:$AM$119=$B$40),0),2),""))</f>
        <v/>
      </c>
      <c r="W40" s="249" t="str">
        <f t="array" ref="W40">IF(OR(W$11=1,W$11=7),"",IFERROR(INDEX($AM$20:$AP$119,MATCH(1,(W$8&gt;=$AO$20:$AO$119)*($AP$20:$AP$119&gt;=W$8)*($AM$20:$AM$119=$B$40),0),2),""))</f>
        <v/>
      </c>
      <c r="X40" s="249" t="str">
        <f t="array" ref="X40">IF(OR(X$11=1,X$11=7),"",IFERROR(INDEX($AM$20:$AP$119,MATCH(1,(X$8&gt;=$AO$20:$AO$119)*($AP$20:$AP$119&gt;=X$8)*($AM$20:$AM$119=$B$40),0),2),""))</f>
        <v/>
      </c>
      <c r="Y40" s="249" t="str">
        <f t="array" ref="Y40">IF(OR(Y$11=1,Y$11=7),"",IFERROR(INDEX($AM$20:$AP$119,MATCH(1,(Y$8&gt;=$AO$20:$AO$119)*($AP$20:$AP$119&gt;=Y$8)*($AM$20:$AM$119=$B$40),0),2),""))</f>
        <v/>
      </c>
      <c r="Z40" s="249" t="str">
        <f t="array" ref="Z40">IF(OR(Z$11=1,Z$11=7),"",IFERROR(INDEX($AM$20:$AP$119,MATCH(1,(Z$8&gt;=$AO$20:$AO$119)*($AP$20:$AP$119&gt;=Z$8)*($AM$20:$AM$119=$B$40),0),2),""))</f>
        <v/>
      </c>
      <c r="AA40" s="249" t="str">
        <f t="array" ref="AA40">IF(OR(AA$11=1,AA$11=7),"",IFERROR(INDEX($AM$20:$AP$119,MATCH(1,(AA$8&gt;=$AO$20:$AO$119)*($AP$20:$AP$119&gt;=AA$8)*($AM$20:$AM$119=$B$40),0),2),""))</f>
        <v/>
      </c>
      <c r="AB40" s="249" t="str">
        <f t="array" ref="AB40">IF(OR(AB$11=1,AB$11=7),"",IFERROR(INDEX($AM$20:$AP$119,MATCH(1,(AB$8&gt;=$AO$20:$AO$119)*($AP$20:$AP$119&gt;=AB$8)*($AM$20:$AM$119=$B$40),0),2),""))</f>
        <v/>
      </c>
      <c r="AC40" s="249" t="str">
        <f t="array" ref="AC40">IF(OR(AC$11=1,AC$11=7),"",IFERROR(INDEX($AM$20:$AP$119,MATCH(1,(AC$8&gt;=$AO$20:$AO$119)*($AP$20:$AP$119&gt;=AC$8)*($AM$20:$AM$119=$B$40),0),2),""))</f>
        <v/>
      </c>
      <c r="AD40" s="249" t="str">
        <f t="array" ref="AD40">IF(OR(AD$11=1,AD$11=7),"",IFERROR(INDEX($AM$20:$AP$119,MATCH(1,(AD$8&gt;=$AO$20:$AO$119)*($AP$20:$AP$119&gt;=AD$8)*($AM$20:$AM$119=$B$40),0),2),""))</f>
        <v/>
      </c>
      <c r="AE40" s="249" t="str">
        <f t="array" ref="AE40">IF(OR(AE$11=1,AE$11=7),"",IFERROR(INDEX($AM$20:$AP$119,MATCH(1,(AE$8&gt;=$AO$20:$AO$119)*($AP$20:$AP$119&gt;=AE$8)*($AM$20:$AM$119=$B$40),0),2),""))</f>
        <v/>
      </c>
      <c r="AF40" s="249" t="str">
        <f t="array" ref="AF40">IF(OR(AF$11=1,AF$11=7),"",IFERROR(INDEX($AM$20:$AP$119,MATCH(1,(AF$8&gt;=$AO$20:$AO$119)*($AP$20:$AP$119&gt;=AF$8)*($AM$20:$AM$119=$B$40),0),2),""))</f>
        <v/>
      </c>
      <c r="AG40" s="249" t="str">
        <f t="array" ref="AG40">IF(OR(AG$11=1,AG$11=7),"",IFERROR(INDEX($AM$20:$AP$119,MATCH(1,(AG$8&gt;=$AO$20:$AO$119)*($AP$20:$AP$119&gt;=AG$8)*($AM$20:$AM$119=$B$40),0),2),""))</f>
        <v/>
      </c>
      <c r="AH40" s="256" t="str">
        <f>B40</f>
        <v>yves</v>
      </c>
      <c r="AI40" s="709">
        <f>COUNTIF(C40:AG40,$AI$10)</f>
        <v>0</v>
      </c>
      <c r="AJ40" s="13"/>
      <c r="AK40" s="13"/>
      <c r="AL40" s="13">
        <v>21</v>
      </c>
      <c r="AN40" s="23"/>
      <c r="AO40" s="31"/>
      <c r="AP40" s="31"/>
      <c r="AQ40" s="635">
        <f>Absences268101214242[[#This Row],[debut]]</f>
        <v>0</v>
      </c>
      <c r="AR40" s="13"/>
      <c r="AS40" s="13"/>
      <c r="AT40" s="13"/>
      <c r="AU40" s="13"/>
      <c r="AV40" s="70"/>
      <c r="AW40" s="57"/>
      <c r="AX40" s="57"/>
      <c r="AY40" s="57"/>
      <c r="AZ40" s="54"/>
      <c r="BA40" s="54"/>
      <c r="BB40" s="54"/>
      <c r="BC40" s="55"/>
      <c r="BD40" s="56"/>
      <c r="BE40" s="56"/>
      <c r="BF40" s="56"/>
      <c r="BG40" s="56"/>
      <c r="BI40" s="290"/>
      <c r="BJ40" s="353" t="s">
        <v>532</v>
      </c>
      <c r="BK40" s="315" t="s">
        <v>533</v>
      </c>
      <c r="BL40" s="294"/>
      <c r="BM40" s="294"/>
      <c r="BN40" s="294"/>
      <c r="BO40" s="294"/>
      <c r="BP40" s="316"/>
      <c r="BQ40" s="333" t="s">
        <v>677</v>
      </c>
      <c r="BR40" s="340">
        <v>22</v>
      </c>
      <c r="BS40" s="335">
        <v>0.60416666666666663</v>
      </c>
      <c r="BT40" s="336">
        <v>0.77083333333333337</v>
      </c>
      <c r="BU40" s="337">
        <v>0</v>
      </c>
      <c r="BV40" s="338">
        <f t="shared" si="6"/>
        <v>0.16666666666666674</v>
      </c>
      <c r="BW40" s="294"/>
      <c r="BX40" s="313"/>
    </row>
    <row r="41" spans="1:83" ht="21.75" thickBot="1" x14ac:dyDescent="0.3">
      <c r="A41" s="13"/>
      <c r="B41" s="611">
        <f>COUNTA(C41:AG41)</f>
        <v>0</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706">
        <f>COUNTIF(C40:AG40,$AH$11)</f>
        <v>0</v>
      </c>
      <c r="AI41" s="714">
        <f>COUNTIF(C40:AG40,$AI$11)</f>
        <v>0</v>
      </c>
      <c r="AJ41" s="13"/>
      <c r="AK41" s="13"/>
      <c r="AL41" s="13">
        <v>22</v>
      </c>
      <c r="AN41" s="23"/>
      <c r="AO41" s="31"/>
      <c r="AP41" s="31"/>
      <c r="AQ41" s="635">
        <f>Absences268101214242[[#This Row],[debut]]</f>
        <v>0</v>
      </c>
      <c r="AR41" s="13"/>
      <c r="AS41" s="13"/>
      <c r="AT41" s="13"/>
      <c r="AU41" s="13"/>
      <c r="AV41" s="94" t="s">
        <v>94</v>
      </c>
      <c r="AW41" s="50">
        <v>0.27083333333333331</v>
      </c>
      <c r="AX41" s="50">
        <v>0.60416666666666663</v>
      </c>
      <c r="AY41" s="51">
        <v>1</v>
      </c>
      <c r="AZ41" s="52">
        <f>IF(AX41-AW41=0,0,(AX41-AW41)-(AY41*TIMEVALUE("00:30")))</f>
        <v>0.3125</v>
      </c>
      <c r="BA41" s="53" t="s">
        <v>72</v>
      </c>
      <c r="BB41" s="54"/>
      <c r="BC41" s="55"/>
      <c r="BD41" s="56"/>
      <c r="BE41" s="56"/>
      <c r="BF41" s="56"/>
      <c r="BG41" s="56"/>
      <c r="BI41" s="290"/>
      <c r="BJ41" s="353" t="s">
        <v>534</v>
      </c>
      <c r="BK41" s="315" t="s">
        <v>535</v>
      </c>
      <c r="BL41" s="294"/>
      <c r="BM41" s="294"/>
      <c r="BN41" s="294"/>
      <c r="BO41" s="294"/>
      <c r="BP41" s="316"/>
      <c r="BQ41" s="333" t="s">
        <v>678</v>
      </c>
      <c r="BR41" s="341">
        <v>23</v>
      </c>
      <c r="BS41" s="342">
        <v>0.60416666666666663</v>
      </c>
      <c r="BT41" s="343">
        <v>0.64583333333333337</v>
      </c>
      <c r="BU41" s="344">
        <v>0</v>
      </c>
      <c r="BV41" s="345">
        <f t="shared" si="6"/>
        <v>4.1666666666666741E-2</v>
      </c>
      <c r="BW41" s="294"/>
      <c r="BX41" s="313"/>
    </row>
    <row r="42" spans="1:83" ht="2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v>23</v>
      </c>
      <c r="AN42" s="23"/>
      <c r="AO42" s="31"/>
      <c r="AP42" s="31"/>
      <c r="AQ42" s="635">
        <f>Absences268101214242[[#This Row],[debut]]</f>
        <v>0</v>
      </c>
      <c r="AV42" s="70"/>
      <c r="AW42" s="57"/>
      <c r="AX42" s="57"/>
      <c r="AY42" s="57"/>
      <c r="AZ42" s="54"/>
      <c r="BA42" s="54"/>
      <c r="BB42" s="54"/>
      <c r="BC42" s="55"/>
      <c r="BD42" s="56"/>
      <c r="BE42" s="56"/>
      <c r="BF42" s="56"/>
      <c r="BG42" s="56"/>
      <c r="BI42" s="290"/>
      <c r="BJ42" s="354" t="s">
        <v>536</v>
      </c>
      <c r="BK42" s="315" t="s">
        <v>537</v>
      </c>
      <c r="BL42" s="294"/>
      <c r="BM42" s="294"/>
      <c r="BN42" s="294"/>
      <c r="BO42" s="294"/>
      <c r="BP42" s="316"/>
      <c r="BQ42" s="346" t="s">
        <v>679</v>
      </c>
      <c r="BR42" s="340">
        <v>24</v>
      </c>
      <c r="BS42" s="335">
        <v>0</v>
      </c>
      <c r="BT42" s="336">
        <v>0</v>
      </c>
      <c r="BU42" s="337">
        <v>0</v>
      </c>
      <c r="BV42" s="338">
        <f t="shared" si="6"/>
        <v>0</v>
      </c>
      <c r="BW42" s="294"/>
      <c r="BX42" s="313"/>
    </row>
    <row r="43" spans="1:83" ht="24" thickBot="1" x14ac:dyDescent="0.3">
      <c r="A43" s="13"/>
      <c r="B43" s="18"/>
      <c r="C43" s="616" t="s">
        <v>801</v>
      </c>
      <c r="D43" s="18"/>
      <c r="E43" s="18"/>
      <c r="F43" s="18"/>
      <c r="G43" s="18"/>
      <c r="H43" s="18"/>
      <c r="I43" s="18"/>
      <c r="J43" s="18"/>
      <c r="K43" s="18"/>
      <c r="L43" s="18"/>
      <c r="M43" s="18"/>
      <c r="N43" s="18"/>
      <c r="O43" s="18"/>
      <c r="P43" s="18"/>
      <c r="Q43" s="18"/>
      <c r="R43" s="18"/>
      <c r="S43" s="13"/>
      <c r="T43" s="13"/>
      <c r="U43" s="13"/>
      <c r="V43" s="13"/>
      <c r="W43" s="13"/>
      <c r="X43" s="13"/>
      <c r="Y43" s="13"/>
      <c r="Z43" s="13"/>
      <c r="AA43" s="13"/>
      <c r="AB43" s="13"/>
      <c r="AC43" s="13"/>
      <c r="AD43" s="13"/>
      <c r="AE43" s="13"/>
      <c r="AF43" s="13"/>
      <c r="AG43" s="13"/>
      <c r="AH43" s="13"/>
      <c r="AI43" s="13"/>
      <c r="AJ43" s="13"/>
      <c r="AK43" s="13"/>
      <c r="AL43" s="13">
        <v>24</v>
      </c>
      <c r="AN43" s="23"/>
      <c r="AO43" s="31"/>
      <c r="AP43" s="31"/>
      <c r="AQ43" s="635">
        <f>Absences268101214242[[#This Row],[debut]]</f>
        <v>0</v>
      </c>
      <c r="AV43" s="94" t="s">
        <v>95</v>
      </c>
      <c r="AW43" s="50">
        <v>0.27083333333333331</v>
      </c>
      <c r="AX43" s="50">
        <v>0.60416666666666663</v>
      </c>
      <c r="AY43" s="51">
        <v>1</v>
      </c>
      <c r="AZ43" s="52">
        <f>IF(AX43-AW43=0,0,(AX43-AW43)-(AY43*TIMEVALUE("00:30")))</f>
        <v>0.3125</v>
      </c>
      <c r="BA43" s="53" t="s">
        <v>73</v>
      </c>
      <c r="BB43" s="54"/>
      <c r="BC43" s="55"/>
      <c r="BD43" s="56"/>
      <c r="BE43" s="56"/>
      <c r="BF43" s="56"/>
      <c r="BG43" s="56"/>
      <c r="BI43" s="290"/>
      <c r="BJ43" s="294"/>
      <c r="BK43" s="294"/>
      <c r="BL43" s="294"/>
      <c r="BM43" s="294"/>
      <c r="BN43" s="294"/>
      <c r="BO43" s="294"/>
      <c r="BP43" s="294"/>
      <c r="BQ43" s="294"/>
      <c r="BR43" s="294"/>
      <c r="BS43" s="294"/>
      <c r="BT43" s="294"/>
      <c r="BU43" s="294"/>
      <c r="BV43" s="294"/>
      <c r="BW43" s="294"/>
      <c r="BX43" s="313"/>
    </row>
    <row r="44" spans="1:83" x14ac:dyDescent="0.25">
      <c r="A44" s="13"/>
      <c r="B44" s="18"/>
      <c r="C44" s="614" t="s">
        <v>815</v>
      </c>
      <c r="D44" s="614"/>
      <c r="E44" s="614"/>
      <c r="F44" s="614"/>
      <c r="G44" s="614"/>
      <c r="H44" s="614"/>
      <c r="I44" s="614"/>
      <c r="J44" s="614"/>
      <c r="K44" s="614"/>
      <c r="L44" s="614"/>
      <c r="M44" s="614"/>
      <c r="N44" s="614"/>
      <c r="O44" s="614"/>
      <c r="P44" s="18"/>
      <c r="Q44" s="18"/>
      <c r="R44" s="18"/>
      <c r="S44" s="13"/>
      <c r="T44" s="13"/>
      <c r="U44" s="13"/>
      <c r="V44" s="13"/>
      <c r="W44" s="13"/>
      <c r="X44" s="13"/>
      <c r="Y44" s="13"/>
      <c r="Z44" s="13"/>
      <c r="AA44" s="13"/>
      <c r="AB44" s="13"/>
      <c r="AC44" s="13"/>
      <c r="AD44" s="13"/>
      <c r="AE44" s="13"/>
      <c r="AF44" s="13"/>
      <c r="AG44" s="13"/>
      <c r="AH44" s="13"/>
      <c r="AI44" s="13"/>
      <c r="AJ44" s="13"/>
      <c r="AK44" s="13"/>
      <c r="AL44" s="13">
        <v>25</v>
      </c>
      <c r="AN44" s="23"/>
      <c r="AO44" s="31"/>
      <c r="AP44" s="31"/>
      <c r="AQ44" s="635">
        <f>Absences268101214242[[#This Row],[debut]]</f>
        <v>0</v>
      </c>
      <c r="AV44" s="70"/>
      <c r="AW44" s="57"/>
      <c r="AX44" s="57"/>
      <c r="AY44" s="57"/>
      <c r="AZ44" s="54"/>
      <c r="BA44" s="54"/>
      <c r="BB44" s="54"/>
      <c r="BC44" s="55"/>
      <c r="BD44" s="56"/>
      <c r="BE44" s="56"/>
      <c r="BF44" s="56"/>
      <c r="BG44" s="56"/>
      <c r="BI44" s="290"/>
      <c r="BJ44" s="294"/>
      <c r="BK44" s="294"/>
      <c r="BL44" s="294"/>
      <c r="BM44" s="294"/>
      <c r="BN44" s="294"/>
      <c r="BO44" s="294"/>
      <c r="BP44" s="294"/>
      <c r="BQ44" s="294"/>
      <c r="BR44" s="294"/>
      <c r="BS44" s="294"/>
      <c r="BT44" s="294"/>
      <c r="BU44" s="294"/>
      <c r="BV44" s="294"/>
      <c r="BW44" s="294"/>
      <c r="BX44" s="313"/>
    </row>
    <row r="45" spans="1:83" ht="16.5" thickBot="1" x14ac:dyDescent="0.3">
      <c r="A45" s="13"/>
      <c r="C45" s="634" t="s">
        <v>814</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v>26</v>
      </c>
      <c r="AN45" s="23"/>
      <c r="AO45" s="31"/>
      <c r="AP45" s="31"/>
      <c r="AQ45" s="635">
        <f>Absences268101214242[[#This Row],[debut]]</f>
        <v>0</v>
      </c>
      <c r="AV45" s="94" t="s">
        <v>96</v>
      </c>
      <c r="AW45" s="50">
        <v>0.27083333333333331</v>
      </c>
      <c r="AX45" s="50">
        <v>0.60416666666666663</v>
      </c>
      <c r="AY45" s="51">
        <v>1</v>
      </c>
      <c r="AZ45" s="52">
        <f>IF(AX45-AW45=0,0,(AX45-AW45)-(AY45*TIMEVALUE("00:30")))</f>
        <v>0.3125</v>
      </c>
      <c r="BA45" s="53" t="s">
        <v>130</v>
      </c>
      <c r="BB45" s="54"/>
      <c r="BC45" s="55"/>
      <c r="BD45" s="56"/>
      <c r="BE45" s="56"/>
      <c r="BF45" s="56"/>
      <c r="BG45" s="56"/>
      <c r="BI45" s="290"/>
      <c r="BJ45" s="294"/>
      <c r="BK45" s="294"/>
      <c r="BL45" s="294"/>
      <c r="BM45" s="294"/>
      <c r="BN45" s="294"/>
      <c r="BO45" s="294"/>
      <c r="BP45" s="294"/>
      <c r="BQ45" s="294"/>
      <c r="BR45" s="294"/>
      <c r="BS45" s="294"/>
      <c r="BT45" s="294"/>
      <c r="BU45" s="294"/>
      <c r="BV45" s="294"/>
      <c r="BW45" s="294"/>
      <c r="BX45" s="313"/>
    </row>
    <row r="46" spans="1:83" x14ac:dyDescent="0.25">
      <c r="A46" s="13"/>
      <c r="B46" s="620" t="s">
        <v>184</v>
      </c>
      <c r="C46" s="617" t="s">
        <v>0</v>
      </c>
      <c r="D46" s="18" t="s">
        <v>866</v>
      </c>
      <c r="E46" s="18"/>
      <c r="F46" s="18"/>
      <c r="G46" s="18"/>
      <c r="H46" s="18"/>
      <c r="I46" s="18"/>
      <c r="J46" s="18"/>
      <c r="K46" s="18"/>
      <c r="L46" s="18"/>
      <c r="M46" s="18"/>
      <c r="N46" s="18"/>
      <c r="O46" s="18"/>
      <c r="P46" s="18"/>
      <c r="Q46" s="18"/>
      <c r="R46" s="18"/>
      <c r="S46" s="13"/>
      <c r="T46" s="13" t="s">
        <v>811</v>
      </c>
      <c r="U46" s="13"/>
      <c r="V46" s="13"/>
      <c r="W46" s="13"/>
      <c r="X46" s="13"/>
      <c r="Y46" s="13"/>
      <c r="Z46" s="13"/>
      <c r="AA46" s="13"/>
      <c r="AB46" s="13"/>
      <c r="AC46" s="13"/>
      <c r="AD46" s="13"/>
      <c r="AE46" s="13"/>
      <c r="AF46" s="13"/>
      <c r="AG46" s="13"/>
      <c r="AH46" s="13"/>
      <c r="AI46" s="13"/>
      <c r="AJ46" s="13"/>
      <c r="AK46" s="13"/>
      <c r="AL46" s="13">
        <v>27</v>
      </c>
      <c r="AN46" s="23"/>
      <c r="AO46" s="31"/>
      <c r="AP46" s="31"/>
      <c r="AQ46" s="635">
        <f>Absences268101214242[[#This Row],[debut]]</f>
        <v>0</v>
      </c>
      <c r="AV46" s="70"/>
      <c r="AW46" s="57"/>
      <c r="AX46" s="57"/>
      <c r="AY46" s="57"/>
      <c r="AZ46" s="54"/>
      <c r="BA46" s="54"/>
      <c r="BB46" s="54"/>
      <c r="BC46" s="55"/>
      <c r="BD46" s="56"/>
      <c r="BE46" s="56"/>
      <c r="BF46" s="56"/>
      <c r="BG46" s="56"/>
      <c r="BI46" s="290"/>
      <c r="BJ46" s="294"/>
      <c r="BK46" s="294"/>
      <c r="BL46" s="294"/>
      <c r="BM46" s="294"/>
      <c r="BN46" s="294"/>
      <c r="BO46" s="294"/>
      <c r="BP46" s="294"/>
      <c r="BQ46" s="294"/>
      <c r="BR46" s="294"/>
      <c r="BS46" s="294"/>
      <c r="BT46" s="294"/>
      <c r="BU46" s="294"/>
      <c r="BV46" s="294"/>
      <c r="BW46" s="294"/>
      <c r="BX46" s="313"/>
    </row>
    <row r="47" spans="1:83" ht="16.5" thickBot="1" x14ac:dyDescent="0.3">
      <c r="A47" s="13"/>
      <c r="B47" s="620" t="s">
        <v>185</v>
      </c>
      <c r="C47" s="612" t="s">
        <v>3</v>
      </c>
      <c r="D47" s="18" t="s">
        <v>802</v>
      </c>
      <c r="E47" s="18"/>
      <c r="F47" s="18"/>
      <c r="G47" s="18"/>
      <c r="H47" s="18"/>
      <c r="I47" s="18"/>
      <c r="J47" s="18"/>
      <c r="K47" s="18"/>
      <c r="L47" s="18"/>
      <c r="M47" s="18"/>
      <c r="N47" s="18"/>
      <c r="O47" s="18"/>
      <c r="P47" s="18"/>
      <c r="Q47" s="18"/>
      <c r="R47" s="18"/>
      <c r="S47" s="13"/>
      <c r="T47" s="13" t="s">
        <v>787</v>
      </c>
      <c r="U47" s="13"/>
      <c r="V47" s="13"/>
      <c r="W47" s="13"/>
      <c r="X47" s="13"/>
      <c r="Y47" s="13"/>
      <c r="Z47" s="13"/>
      <c r="AA47" s="13"/>
      <c r="AB47" s="13"/>
      <c r="AC47" s="13"/>
      <c r="AD47" s="13"/>
      <c r="AE47" s="13"/>
      <c r="AF47" s="13"/>
      <c r="AG47" s="13"/>
      <c r="AH47" s="13"/>
      <c r="AI47" s="13"/>
      <c r="AJ47" s="13"/>
      <c r="AK47" s="13"/>
      <c r="AL47" s="13">
        <v>28</v>
      </c>
      <c r="AN47" s="23"/>
      <c r="AO47" s="31"/>
      <c r="AP47" s="31"/>
      <c r="AQ47" s="635">
        <f>Absences268101214242[[#This Row],[debut]]</f>
        <v>0</v>
      </c>
      <c r="AV47" s="94" t="s">
        <v>97</v>
      </c>
      <c r="AW47" s="50">
        <v>0.27083333333333331</v>
      </c>
      <c r="AX47" s="50">
        <v>0.60416666666666663</v>
      </c>
      <c r="AY47" s="51">
        <v>1</v>
      </c>
      <c r="AZ47" s="52">
        <f>IF(AX47-AW47=0,0,(AX47-AW47)-(AY47*TIMEVALUE("00:30")))</f>
        <v>0.3125</v>
      </c>
      <c r="BA47" s="53" t="s">
        <v>74</v>
      </c>
      <c r="BB47" s="54"/>
      <c r="BC47" s="55"/>
      <c r="BD47" s="56"/>
      <c r="BE47" s="56"/>
      <c r="BF47" s="56"/>
      <c r="BG47" s="56"/>
      <c r="BI47" s="290"/>
      <c r="BJ47" s="294"/>
      <c r="BK47" s="294"/>
      <c r="BL47" s="294"/>
      <c r="BM47" s="294"/>
      <c r="BN47" s="294"/>
      <c r="BO47" s="294"/>
      <c r="BP47" s="294"/>
      <c r="BQ47" s="294"/>
      <c r="BR47" s="294"/>
      <c r="BS47" s="294"/>
      <c r="BT47" s="294"/>
      <c r="BU47" s="294"/>
      <c r="BV47" s="294"/>
      <c r="BW47" s="294"/>
      <c r="BX47" s="313"/>
    </row>
    <row r="48" spans="1:83" x14ac:dyDescent="0.25">
      <c r="A48" s="13"/>
      <c r="B48" s="621"/>
      <c r="C48" s="18"/>
      <c r="D48" s="18" t="s">
        <v>805</v>
      </c>
      <c r="E48" s="18"/>
      <c r="F48" s="18"/>
      <c r="G48" s="18"/>
      <c r="H48" s="18"/>
      <c r="I48" s="18"/>
      <c r="J48" s="18"/>
      <c r="K48" s="18"/>
      <c r="L48" s="18"/>
      <c r="M48" s="93"/>
      <c r="N48" s="618"/>
      <c r="O48" s="18"/>
      <c r="P48" s="18"/>
      <c r="Q48" s="18"/>
      <c r="R48" s="18"/>
      <c r="S48" s="13"/>
      <c r="T48" s="13" t="s">
        <v>791</v>
      </c>
      <c r="U48" s="13"/>
      <c r="V48" s="13"/>
      <c r="W48" s="13"/>
      <c r="X48" s="13"/>
      <c r="Y48" s="13"/>
      <c r="Z48" s="13"/>
      <c r="AA48" s="13"/>
      <c r="AB48" s="13"/>
      <c r="AC48" s="13"/>
      <c r="AD48" s="13"/>
      <c r="AE48" s="13"/>
      <c r="AF48" s="13"/>
      <c r="AG48" s="13"/>
      <c r="AH48" s="13"/>
      <c r="AI48" s="13"/>
      <c r="AJ48" s="13"/>
      <c r="AK48" s="13"/>
      <c r="AL48" s="13">
        <v>29</v>
      </c>
      <c r="AN48" s="23"/>
      <c r="AO48" s="31"/>
      <c r="AP48" s="31"/>
      <c r="AQ48" s="635">
        <f>Absences268101214242[[#This Row],[debut]]</f>
        <v>0</v>
      </c>
      <c r="AV48" s="1506" t="s">
        <v>131</v>
      </c>
      <c r="AW48" s="1506"/>
      <c r="AX48" s="1506"/>
      <c r="AY48" s="1506"/>
      <c r="AZ48" s="1506"/>
      <c r="BA48" s="1506"/>
      <c r="BB48" s="1506"/>
      <c r="BC48" s="1506"/>
      <c r="BD48" s="1506"/>
      <c r="BE48" s="1506"/>
      <c r="BF48" s="1506"/>
      <c r="BG48" s="1506"/>
      <c r="BI48" s="290"/>
      <c r="BJ48" s="294"/>
      <c r="BK48" s="294"/>
      <c r="BL48" s="294"/>
      <c r="BM48" s="294"/>
      <c r="BN48" s="294"/>
      <c r="BO48" s="294"/>
      <c r="BP48" s="294"/>
      <c r="BQ48" s="294"/>
      <c r="BR48" s="294"/>
      <c r="BS48" s="294"/>
      <c r="BT48" s="294"/>
      <c r="BU48" s="294"/>
      <c r="BV48" s="294"/>
      <c r="BW48" s="294"/>
      <c r="BX48" s="313"/>
    </row>
    <row r="49" spans="1:76" x14ac:dyDescent="0.25">
      <c r="A49" s="13"/>
      <c r="B49" s="620" t="s">
        <v>186</v>
      </c>
      <c r="C49" s="612" t="s">
        <v>1</v>
      </c>
      <c r="D49" s="626" t="s">
        <v>2</v>
      </c>
      <c r="E49" s="18" t="s">
        <v>828</v>
      </c>
      <c r="F49" s="18"/>
      <c r="G49" s="18"/>
      <c r="H49" s="18"/>
      <c r="I49" s="18"/>
      <c r="J49" s="18"/>
      <c r="K49" s="18"/>
      <c r="L49" s="18"/>
      <c r="M49" s="18"/>
      <c r="N49" s="18"/>
      <c r="O49" s="18"/>
      <c r="P49" s="18"/>
      <c r="Q49" s="18"/>
      <c r="R49" s="18"/>
      <c r="S49" s="13"/>
      <c r="T49" s="13" t="s">
        <v>788</v>
      </c>
      <c r="U49" s="13"/>
      <c r="V49" s="13"/>
      <c r="W49" s="13"/>
      <c r="X49" s="13"/>
      <c r="Y49" s="13"/>
      <c r="Z49" s="13"/>
      <c r="AA49" s="13"/>
      <c r="AB49" s="13"/>
      <c r="AC49" s="13"/>
      <c r="AD49" s="13"/>
      <c r="AE49" s="13"/>
      <c r="AF49" s="13"/>
      <c r="AG49" s="13"/>
      <c r="AH49" s="13"/>
      <c r="AI49" s="13"/>
      <c r="AJ49" s="13"/>
      <c r="AK49" s="13"/>
      <c r="AL49" s="13">
        <v>30</v>
      </c>
      <c r="AN49" s="23"/>
      <c r="AO49" s="31"/>
      <c r="AP49" s="31"/>
      <c r="AQ49" s="635">
        <f>Absences268101214242[[#This Row],[debut]]</f>
        <v>0</v>
      </c>
      <c r="AV49" s="1506"/>
      <c r="AW49" s="1506"/>
      <c r="AX49" s="1506"/>
      <c r="AY49" s="1506"/>
      <c r="AZ49" s="1506"/>
      <c r="BA49" s="1506"/>
      <c r="BB49" s="1506"/>
      <c r="BC49" s="1506"/>
      <c r="BD49" s="1506"/>
      <c r="BE49" s="1506"/>
      <c r="BF49" s="1506"/>
      <c r="BG49" s="1506"/>
      <c r="BI49" s="290"/>
      <c r="BJ49" s="294"/>
      <c r="BK49" s="294"/>
      <c r="BL49" s="294"/>
      <c r="BM49" s="294"/>
      <c r="BN49" s="294"/>
      <c r="BO49" s="294"/>
      <c r="BP49" s="294"/>
      <c r="BQ49" s="294"/>
      <c r="BR49" s="294"/>
      <c r="BS49" s="294"/>
      <c r="BT49" s="294"/>
      <c r="BU49" s="294"/>
      <c r="BV49" s="294"/>
      <c r="BW49" s="294"/>
      <c r="BX49" s="313"/>
    </row>
    <row r="50" spans="1:76" x14ac:dyDescent="0.25">
      <c r="A50" s="13"/>
      <c r="B50" s="18"/>
      <c r="C50" s="613" t="s">
        <v>362</v>
      </c>
      <c r="D50" s="627" t="s">
        <v>803</v>
      </c>
      <c r="E50" s="18"/>
      <c r="F50" s="18"/>
      <c r="G50" s="18"/>
      <c r="H50" s="18"/>
      <c r="I50" s="18"/>
      <c r="J50" s="18"/>
      <c r="K50" s="18"/>
      <c r="L50" s="18"/>
      <c r="M50" s="18"/>
      <c r="N50" s="18"/>
      <c r="O50" s="18"/>
      <c r="P50" s="18"/>
      <c r="Q50" s="18"/>
      <c r="R50" s="18"/>
      <c r="S50" s="13"/>
      <c r="T50" s="13" t="s">
        <v>789</v>
      </c>
      <c r="U50" s="13"/>
      <c r="V50" s="13"/>
      <c r="W50" s="13"/>
      <c r="X50" s="13"/>
      <c r="Y50" s="13"/>
      <c r="Z50" s="13"/>
      <c r="AA50" s="13"/>
      <c r="AB50" s="13"/>
      <c r="AC50" s="13"/>
      <c r="AD50" s="13"/>
      <c r="AE50" s="13"/>
      <c r="AF50" s="13"/>
      <c r="AG50" s="13"/>
      <c r="AH50" s="13"/>
      <c r="AI50" s="13"/>
      <c r="AJ50" s="13"/>
      <c r="AK50" s="13"/>
      <c r="AL50" s="13">
        <v>31</v>
      </c>
      <c r="AN50" s="23"/>
      <c r="AO50" s="31"/>
      <c r="AP50" s="31"/>
      <c r="AQ50" s="635">
        <f>Absences268101214242[[#This Row],[debut]]</f>
        <v>0</v>
      </c>
      <c r="AV50" s="71"/>
      <c r="AW50" s="54"/>
      <c r="AX50" s="54"/>
      <c r="AY50" s="54"/>
      <c r="AZ50" s="54"/>
      <c r="BA50" s="54"/>
      <c r="BB50" s="54"/>
      <c r="BC50" s="55"/>
      <c r="BD50" s="56"/>
      <c r="BE50" s="56"/>
      <c r="BF50" s="56"/>
      <c r="BG50" s="56"/>
      <c r="BI50" s="348"/>
      <c r="BJ50" s="349"/>
      <c r="BK50" s="349"/>
      <c r="BL50" s="349"/>
      <c r="BM50" s="349"/>
      <c r="BN50" s="349"/>
      <c r="BO50" s="349"/>
      <c r="BP50" s="349"/>
      <c r="BQ50" s="349"/>
      <c r="BR50" s="349"/>
      <c r="BS50" s="349"/>
      <c r="BT50" s="349"/>
      <c r="BU50" s="349"/>
      <c r="BV50" s="349"/>
      <c r="BW50" s="349"/>
      <c r="BX50" s="350"/>
    </row>
    <row r="51" spans="1:76" ht="16.5" thickBot="1" x14ac:dyDescent="0.3">
      <c r="A51" s="13"/>
      <c r="B51" s="18"/>
      <c r="C51" s="18"/>
      <c r="D51" s="18" t="s">
        <v>804</v>
      </c>
      <c r="E51" s="18"/>
      <c r="F51" s="18"/>
      <c r="G51" s="18"/>
      <c r="H51" s="18"/>
      <c r="I51" s="18"/>
      <c r="J51" s="18"/>
      <c r="K51" s="18"/>
      <c r="L51" s="18"/>
      <c r="M51" s="18"/>
      <c r="N51" s="18"/>
      <c r="O51" s="18"/>
      <c r="P51" s="18"/>
      <c r="Q51" s="18"/>
      <c r="R51" s="18"/>
      <c r="S51" s="13"/>
      <c r="T51" s="13" t="s">
        <v>790</v>
      </c>
      <c r="U51" s="13"/>
      <c r="V51" s="13"/>
      <c r="W51" s="13"/>
      <c r="X51" s="13"/>
      <c r="Y51" s="13"/>
      <c r="Z51" s="13"/>
      <c r="AA51" s="13"/>
      <c r="AB51" s="13"/>
      <c r="AC51" s="13"/>
      <c r="AD51" s="13"/>
      <c r="AE51" s="13"/>
      <c r="AF51" s="13"/>
      <c r="AG51" s="13"/>
      <c r="AH51" s="13"/>
      <c r="AI51" s="13"/>
      <c r="AJ51" s="13"/>
      <c r="AK51" s="13"/>
      <c r="AL51" s="13">
        <v>32</v>
      </c>
      <c r="AN51" s="23"/>
      <c r="AO51" s="31"/>
      <c r="AP51" s="31"/>
      <c r="AQ51" s="635">
        <f>Absences268101214242[[#This Row],[debut]]</f>
        <v>0</v>
      </c>
      <c r="AV51" s="94" t="s">
        <v>98</v>
      </c>
      <c r="AW51" s="50">
        <v>0.25</v>
      </c>
      <c r="AX51" s="50">
        <v>0.60416666666666663</v>
      </c>
      <c r="AY51" s="51">
        <v>1</v>
      </c>
      <c r="AZ51" s="52">
        <f>IF(AX51-AW51=0,0,(AX51-AW51)-(AY51*TIMEVALUE("00:30")))</f>
        <v>0.33333333333333331</v>
      </c>
      <c r="BA51" s="53" t="s">
        <v>75</v>
      </c>
      <c r="BB51" s="54"/>
      <c r="BC51" s="55"/>
      <c r="BD51" s="56"/>
      <c r="BE51" s="56"/>
      <c r="BF51" s="56"/>
      <c r="BG51" s="56"/>
    </row>
    <row r="52" spans="1:76" x14ac:dyDescent="0.25">
      <c r="A52" s="13"/>
      <c r="B52" s="18"/>
      <c r="C52" s="18"/>
      <c r="D52" s="18"/>
      <c r="E52" s="18"/>
      <c r="F52" s="18"/>
      <c r="G52" s="18"/>
      <c r="H52" s="18"/>
      <c r="I52" s="18"/>
      <c r="J52" s="18"/>
      <c r="K52" s="18"/>
      <c r="L52" s="18"/>
      <c r="M52" s="18"/>
      <c r="N52" s="18"/>
      <c r="O52" s="18"/>
      <c r="P52" s="18"/>
      <c r="Q52" s="18"/>
      <c r="R52" s="18"/>
      <c r="S52" s="13"/>
      <c r="T52" s="13"/>
      <c r="U52" s="13"/>
      <c r="V52" s="13"/>
      <c r="W52" s="13"/>
      <c r="X52" s="13"/>
      <c r="Y52" s="13"/>
      <c r="Z52" s="13"/>
      <c r="AA52" s="13"/>
      <c r="AB52" s="13"/>
      <c r="AC52" s="13"/>
      <c r="AD52" s="13"/>
      <c r="AE52" s="13"/>
      <c r="AF52" s="13"/>
      <c r="AG52" s="13"/>
      <c r="AH52" s="13"/>
      <c r="AI52" s="13"/>
      <c r="AJ52" s="13"/>
      <c r="AK52" s="13"/>
      <c r="AL52" s="13">
        <v>33</v>
      </c>
      <c r="AN52" s="23"/>
      <c r="AO52" s="31"/>
      <c r="AP52" s="31"/>
      <c r="AQ52" s="635">
        <f>Absences268101214242[[#This Row],[debut]]</f>
        <v>0</v>
      </c>
      <c r="AV52" s="70"/>
      <c r="AW52" s="57"/>
      <c r="AX52" s="57"/>
      <c r="AY52" s="57"/>
      <c r="AZ52" s="54"/>
      <c r="BA52" s="54"/>
      <c r="BB52" s="54"/>
      <c r="BC52" s="55"/>
      <c r="BD52" s="56"/>
      <c r="BE52" s="56"/>
      <c r="BF52" s="56"/>
      <c r="BG52" s="56"/>
    </row>
    <row r="53" spans="1:76" ht="21.75" thickBot="1" x14ac:dyDescent="0.3">
      <c r="A53" s="13"/>
      <c r="B53" s="622" t="s">
        <v>187</v>
      </c>
      <c r="C53" s="624" t="s">
        <v>837</v>
      </c>
      <c r="D53" s="18"/>
      <c r="E53" s="18"/>
      <c r="F53" s="18"/>
      <c r="G53" s="18"/>
      <c r="H53" s="18"/>
      <c r="I53" s="18"/>
      <c r="J53" s="18"/>
      <c r="K53" s="18"/>
      <c r="L53" s="18"/>
      <c r="M53" s="18"/>
      <c r="N53" s="18"/>
      <c r="O53" s="18"/>
      <c r="P53" s="18"/>
      <c r="Q53" s="18"/>
      <c r="R53" s="18"/>
      <c r="S53" s="13"/>
      <c r="T53" s="13"/>
      <c r="U53" s="13"/>
      <c r="V53" s="13"/>
      <c r="W53" s="13"/>
      <c r="X53" s="13"/>
      <c r="Y53" s="13"/>
      <c r="Z53" s="13"/>
      <c r="AA53" s="13"/>
      <c r="AB53" s="13"/>
      <c r="AC53" s="13"/>
      <c r="AD53" s="13"/>
      <c r="AE53" s="13"/>
      <c r="AF53" s="13"/>
      <c r="AG53" s="13"/>
      <c r="AH53" s="13"/>
      <c r="AI53" s="13"/>
      <c r="AJ53" s="13"/>
      <c r="AK53" s="13"/>
      <c r="AL53" s="13">
        <v>34</v>
      </c>
      <c r="AN53" s="23"/>
      <c r="AO53" s="31"/>
      <c r="AP53" s="31"/>
      <c r="AQ53" s="635">
        <f>Absences268101214242[[#This Row],[debut]]</f>
        <v>0</v>
      </c>
      <c r="AV53" s="94" t="s">
        <v>99</v>
      </c>
      <c r="AW53" s="50">
        <v>0.58333333333333337</v>
      </c>
      <c r="AX53" s="50">
        <v>0.83333333333333337</v>
      </c>
      <c r="AY53" s="51">
        <v>0</v>
      </c>
      <c r="AZ53" s="52">
        <f>IF(AX53-AW53=0,0,(AX53-AW53)-(AY53*TIMEVALUE("00:30")))</f>
        <v>0.25</v>
      </c>
      <c r="BA53" s="53" t="s">
        <v>123</v>
      </c>
      <c r="BB53" s="54"/>
      <c r="BC53" s="55"/>
      <c r="BD53" s="56"/>
      <c r="BE53" s="56"/>
      <c r="BF53" s="56"/>
      <c r="BG53" s="56"/>
    </row>
    <row r="54" spans="1:76" x14ac:dyDescent="0.25">
      <c r="A54" s="13"/>
      <c r="B54" s="18"/>
      <c r="C54" s="615">
        <v>2020</v>
      </c>
      <c r="D54" s="18" t="s">
        <v>806</v>
      </c>
      <c r="E54" s="18"/>
      <c r="F54" s="18"/>
      <c r="G54" s="18"/>
      <c r="H54" s="18"/>
      <c r="I54" s="18"/>
      <c r="J54" s="18"/>
      <c r="K54" s="18"/>
      <c r="L54" s="18"/>
      <c r="M54" s="18"/>
      <c r="N54" s="18"/>
      <c r="O54" s="18"/>
      <c r="P54" s="18"/>
      <c r="Q54" s="18"/>
      <c r="R54" s="18"/>
      <c r="S54" s="13"/>
      <c r="T54" s="13"/>
      <c r="U54" s="13"/>
      <c r="V54" s="13"/>
      <c r="W54" s="13"/>
      <c r="X54" s="13"/>
      <c r="Y54" s="13"/>
      <c r="Z54" s="13"/>
      <c r="AA54" s="13"/>
      <c r="AB54" s="13"/>
      <c r="AC54" s="13"/>
      <c r="AD54" s="13"/>
      <c r="AE54" s="13"/>
      <c r="AF54" s="13"/>
      <c r="AG54" s="13"/>
      <c r="AH54" s="13"/>
      <c r="AI54" s="13"/>
      <c r="AJ54" s="13"/>
      <c r="AK54" s="13"/>
      <c r="AL54" s="13">
        <v>35</v>
      </c>
      <c r="AN54" s="23"/>
      <c r="AO54" s="31"/>
      <c r="AP54" s="31"/>
      <c r="AQ54" s="635">
        <f>Absences268101214242[[#This Row],[debut]]</f>
        <v>0</v>
      </c>
      <c r="AV54"/>
      <c r="AW54"/>
      <c r="AX54"/>
      <c r="AY54"/>
      <c r="AZ54"/>
      <c r="BA54"/>
      <c r="BB54"/>
      <c r="BC54"/>
      <c r="BD54"/>
      <c r="BE54"/>
      <c r="BF54"/>
      <c r="BG54"/>
    </row>
    <row r="55" spans="1:76" x14ac:dyDescent="0.25">
      <c r="A55" s="13"/>
      <c r="B55" s="18"/>
      <c r="C55" s="1474" t="s">
        <v>5</v>
      </c>
      <c r="D55" s="1474"/>
      <c r="E55" s="18" t="s">
        <v>867</v>
      </c>
      <c r="F55" s="18"/>
      <c r="G55" s="18"/>
      <c r="H55" s="18"/>
      <c r="I55" s="18"/>
      <c r="J55" s="18"/>
      <c r="K55" s="18"/>
      <c r="L55" s="18"/>
      <c r="M55" s="18"/>
      <c r="N55" s="18"/>
      <c r="O55" s="18"/>
      <c r="P55" s="18"/>
      <c r="Q55" s="18"/>
      <c r="R55" s="18"/>
      <c r="S55" s="13"/>
      <c r="T55" s="13"/>
      <c r="U55" s="13"/>
      <c r="V55" s="13"/>
      <c r="W55" s="13"/>
      <c r="X55" s="13"/>
      <c r="Y55" s="13"/>
      <c r="Z55" s="13"/>
      <c r="AA55" s="13"/>
      <c r="AB55" s="13"/>
      <c r="AC55" s="13"/>
      <c r="AD55" s="13"/>
      <c r="AE55" s="13"/>
      <c r="AF55" s="13"/>
      <c r="AG55" s="13"/>
      <c r="AH55" s="13"/>
      <c r="AI55" s="13"/>
      <c r="AJ55" s="13"/>
      <c r="AK55" s="13"/>
      <c r="AL55" s="13">
        <v>36</v>
      </c>
      <c r="AN55" s="23"/>
      <c r="AO55" s="31"/>
      <c r="AP55" s="31"/>
      <c r="AQ55" s="635">
        <f>Absences268101214242[[#This Row],[debut]]</f>
        <v>0</v>
      </c>
      <c r="AV55"/>
      <c r="AW55"/>
      <c r="AX55"/>
      <c r="AY55"/>
      <c r="AZ55"/>
      <c r="BA55"/>
      <c r="BB55"/>
      <c r="BC55"/>
      <c r="BD55"/>
      <c r="BE55"/>
      <c r="BF55"/>
      <c r="BG55"/>
    </row>
    <row r="56" spans="1:76" ht="18.75" x14ac:dyDescent="0.25">
      <c r="A56" s="13"/>
      <c r="B56" s="18"/>
      <c r="C56" s="1475" t="s">
        <v>36</v>
      </c>
      <c r="D56" s="1475"/>
      <c r="E56" s="18" t="s">
        <v>868</v>
      </c>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13"/>
      <c r="AH56" s="13"/>
      <c r="AI56" s="13"/>
      <c r="AJ56" s="13"/>
      <c r="AK56" s="13"/>
      <c r="AL56" s="13">
        <v>37</v>
      </c>
      <c r="AN56" s="23"/>
      <c r="AO56" s="31"/>
      <c r="AP56" s="31"/>
      <c r="AQ56" s="635">
        <f>Absences268101214242[[#This Row],[debut]]</f>
        <v>0</v>
      </c>
      <c r="AV56" s="54"/>
      <c r="AW56" s="54"/>
      <c r="AX56" s="72"/>
      <c r="AY56" s="56"/>
      <c r="AZ56" s="54"/>
      <c r="BA56" s="54"/>
      <c r="BB56" s="54"/>
      <c r="BC56" s="55"/>
      <c r="BD56" s="56"/>
      <c r="BE56" s="56"/>
      <c r="BF56" s="56"/>
      <c r="BG56" s="56"/>
    </row>
    <row r="57" spans="1:76" ht="16.5" thickBot="1" x14ac:dyDescent="0.3">
      <c r="A57" s="13"/>
      <c r="B57" s="13"/>
      <c r="C57" s="13"/>
      <c r="D57" s="13"/>
      <c r="E57" s="13"/>
      <c r="F57" s="13"/>
      <c r="G57" s="13"/>
      <c r="H57" s="13"/>
      <c r="I57" s="18"/>
      <c r="J57" s="18"/>
      <c r="K57" s="18"/>
      <c r="L57" s="18"/>
      <c r="M57" s="18"/>
      <c r="N57" s="18"/>
      <c r="O57" s="18"/>
      <c r="P57" s="18"/>
      <c r="Q57" s="18"/>
      <c r="R57" s="18"/>
      <c r="S57" s="13"/>
      <c r="T57" s="13"/>
      <c r="U57" s="13"/>
      <c r="V57" s="13"/>
      <c r="W57" s="13"/>
      <c r="X57" s="13"/>
      <c r="Y57" s="13"/>
      <c r="Z57" s="13"/>
      <c r="AA57" s="13"/>
      <c r="AB57" s="13"/>
      <c r="AC57" s="13"/>
      <c r="AD57" s="13"/>
      <c r="AE57" s="13"/>
      <c r="AF57" s="13"/>
      <c r="AG57" s="13"/>
      <c r="AH57" s="13"/>
      <c r="AI57" s="13"/>
      <c r="AJ57" s="13"/>
      <c r="AK57" s="13"/>
      <c r="AL57" s="13">
        <v>38</v>
      </c>
      <c r="AN57" s="23"/>
      <c r="AO57" s="31"/>
      <c r="AP57" s="31"/>
      <c r="AQ57" s="635">
        <f>Absences268101214242[[#This Row],[debut]]</f>
        <v>0</v>
      </c>
      <c r="AV57" s="94" t="s">
        <v>100</v>
      </c>
      <c r="AW57" s="50">
        <v>0.33333333333333331</v>
      </c>
      <c r="AX57" s="50">
        <v>0.625</v>
      </c>
      <c r="AY57" s="51">
        <v>1</v>
      </c>
      <c r="AZ57" s="52">
        <f>IF(AX57-AW57=0,0,(AX57-AW57)-(AY57*TIMEVALUE("00:30")))</f>
        <v>0.27083333333333337</v>
      </c>
      <c r="BA57" s="53" t="s">
        <v>124</v>
      </c>
      <c r="BB57" s="54"/>
      <c r="BC57" s="55"/>
      <c r="BD57" s="56"/>
      <c r="BE57" s="56"/>
      <c r="BF57" s="56"/>
      <c r="BG57" s="56"/>
    </row>
    <row r="58" spans="1:76" ht="21" x14ac:dyDescent="0.25">
      <c r="A58" s="13"/>
      <c r="B58" s="13"/>
      <c r="C58" s="624" t="s">
        <v>838</v>
      </c>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v>39</v>
      </c>
      <c r="AN58" s="23"/>
      <c r="AO58" s="31"/>
      <c r="AP58" s="31"/>
      <c r="AQ58" s="635">
        <f>Absences268101214242[[#This Row],[debut]]</f>
        <v>0</v>
      </c>
      <c r="AV58"/>
      <c r="AW58"/>
      <c r="AX58"/>
      <c r="AY58"/>
      <c r="AZ58"/>
      <c r="BA58"/>
      <c r="BB58"/>
      <c r="BC58"/>
      <c r="BD58"/>
      <c r="BE58"/>
      <c r="BF58"/>
      <c r="BG58"/>
    </row>
    <row r="59" spans="1:76" ht="16.5" thickBot="1" x14ac:dyDescent="0.3">
      <c r="A59" s="13"/>
      <c r="B59" s="13"/>
      <c r="C59" s="685" t="s">
        <v>37</v>
      </c>
      <c r="D59" s="45" t="s">
        <v>861</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v>40</v>
      </c>
      <c r="AN59" s="23"/>
      <c r="AO59" s="31"/>
      <c r="AP59" s="31"/>
      <c r="AQ59" s="635">
        <f>Absences268101214242[[#This Row],[debut]]</f>
        <v>0</v>
      </c>
      <c r="AV59" s="54"/>
      <c r="AW59" s="54"/>
      <c r="AX59" s="72"/>
      <c r="AY59" s="56"/>
      <c r="AZ59" s="54"/>
      <c r="BA59" s="54"/>
      <c r="BB59" s="54"/>
      <c r="BC59" s="55"/>
      <c r="BD59" s="56"/>
      <c r="BE59" s="56"/>
      <c r="BF59" s="56"/>
      <c r="BG59" s="56"/>
    </row>
    <row r="60" spans="1:76" ht="16.5" thickBot="1" x14ac:dyDescent="0.3">
      <c r="A60" s="13"/>
      <c r="B60" s="13"/>
      <c r="C60" s="94" t="s">
        <v>79</v>
      </c>
      <c r="D60" s="45" t="s">
        <v>502</v>
      </c>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v>41</v>
      </c>
      <c r="AN60" s="23"/>
      <c r="AO60" s="31"/>
      <c r="AP60" s="31"/>
      <c r="AQ60" s="635">
        <f>Absences268101214242[[#This Row],[debut]]</f>
        <v>0</v>
      </c>
      <c r="AV60" s="94" t="s">
        <v>101</v>
      </c>
      <c r="AW60" s="50">
        <v>0.375</v>
      </c>
      <c r="AX60" s="50">
        <v>0.625</v>
      </c>
      <c r="AY60" s="51">
        <v>1</v>
      </c>
      <c r="AZ60" s="52">
        <f>IF(AX60-AW60=0,0,(AX60-AW60)-(AY60*TIMEVALUE("00:30")))</f>
        <v>0.22916666666666666</v>
      </c>
      <c r="BA60" s="53" t="s">
        <v>125</v>
      </c>
      <c r="BB60" s="54"/>
      <c r="BC60" s="55"/>
      <c r="BD60" s="56"/>
      <c r="BE60" s="56"/>
      <c r="BF60" s="56"/>
      <c r="BG60" s="56"/>
    </row>
    <row r="61" spans="1:76" x14ac:dyDescent="0.25">
      <c r="A61" s="13"/>
      <c r="B61" s="13"/>
      <c r="C61" s="594" t="s">
        <v>862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v>42</v>
      </c>
      <c r="AN61" s="23"/>
      <c r="AO61" s="31"/>
      <c r="AP61" s="31"/>
      <c r="AQ61" s="635">
        <f>Absences268101214242[[#This Row],[debut]]</f>
        <v>0</v>
      </c>
      <c r="AV61"/>
      <c r="AW61"/>
      <c r="AX61"/>
      <c r="AY61"/>
      <c r="AZ61"/>
      <c r="BA61"/>
      <c r="BB61"/>
      <c r="BC61"/>
      <c r="BD61"/>
      <c r="BE61"/>
      <c r="BF61"/>
      <c r="BG61"/>
    </row>
    <row r="62" spans="1:76" ht="16.5" thickBot="1" x14ac:dyDescent="0.3">
      <c r="A62" s="13"/>
      <c r="B62" s="13"/>
      <c r="C62" s="42"/>
      <c r="D62" s="45" t="s">
        <v>839</v>
      </c>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v>43</v>
      </c>
      <c r="AN62" s="23"/>
      <c r="AO62" s="31"/>
      <c r="AP62" s="31"/>
      <c r="AQ62" s="635">
        <f>Absences268101214242[[#This Row],[debut]]</f>
        <v>0</v>
      </c>
      <c r="AV62" s="54"/>
      <c r="AW62" s="54"/>
      <c r="AX62" s="72"/>
      <c r="AY62" s="56"/>
      <c r="AZ62" s="54"/>
      <c r="BA62" s="54"/>
      <c r="BB62" s="54"/>
      <c r="BC62" s="55"/>
      <c r="BD62" s="56"/>
      <c r="BE62" s="56"/>
      <c r="BF62" s="56"/>
      <c r="BG62" s="56"/>
    </row>
    <row r="63" spans="1:76" ht="16.5" thickBot="1" x14ac:dyDescent="0.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v>44</v>
      </c>
      <c r="AN63" s="23"/>
      <c r="AO63" s="31"/>
      <c r="AP63" s="31"/>
      <c r="AQ63" s="635">
        <f>Absences268101214242[[#This Row],[debut]]</f>
        <v>0</v>
      </c>
      <c r="AV63" s="94" t="s">
        <v>102</v>
      </c>
      <c r="AW63" s="50">
        <v>0.58333333333333337</v>
      </c>
      <c r="AX63" s="50">
        <v>0.75</v>
      </c>
      <c r="AY63" s="51">
        <v>0</v>
      </c>
      <c r="AZ63" s="52">
        <f>IF(AX63-AW63=0,0,(AX63-AW63)-(AY63*TIMEVALUE("00:30")))</f>
        <v>0.16666666666666663</v>
      </c>
      <c r="BA63" s="53" t="s">
        <v>132</v>
      </c>
      <c r="BB63" s="54"/>
      <c r="BC63" s="55"/>
      <c r="BD63" s="56"/>
      <c r="BE63" s="56"/>
      <c r="BF63" s="56"/>
      <c r="BG63" s="56"/>
    </row>
    <row r="64" spans="1:76" ht="21" x14ac:dyDescent="0.25">
      <c r="A64" s="13"/>
      <c r="B64" s="18"/>
      <c r="C64" s="625" t="s">
        <v>810</v>
      </c>
      <c r="D64" s="18"/>
      <c r="E64" s="18"/>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v>45</v>
      </c>
      <c r="AN64" s="23"/>
      <c r="AO64" s="31"/>
      <c r="AP64" s="31"/>
      <c r="AQ64" s="635">
        <f>Absences268101214242[[#This Row],[debut]]</f>
        <v>0</v>
      </c>
      <c r="AV64" s="57"/>
      <c r="AW64" s="57"/>
      <c r="AX64" s="69"/>
      <c r="AZ64" s="54"/>
      <c r="BA64" s="54"/>
      <c r="BB64" s="54"/>
      <c r="BC64" s="55"/>
      <c r="BD64" s="56"/>
      <c r="BE64" s="56"/>
      <c r="BF64" s="56"/>
      <c r="BG64" s="56"/>
    </row>
    <row r="65" spans="1:59" ht="16.5" thickBot="1" x14ac:dyDescent="0.3">
      <c r="A65" s="13"/>
      <c r="B65" s="13" t="s">
        <v>135</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v>46</v>
      </c>
      <c r="AN65" s="23"/>
      <c r="AO65" s="31"/>
      <c r="AP65" s="31"/>
      <c r="AQ65" s="635">
        <f>Absences268101214242[[#This Row],[debut]]</f>
        <v>0</v>
      </c>
      <c r="AV65" s="94" t="s">
        <v>103</v>
      </c>
      <c r="AW65" s="50">
        <v>0.58333333333333337</v>
      </c>
      <c r="AX65" s="50">
        <v>0.75</v>
      </c>
      <c r="AY65" s="51">
        <v>0</v>
      </c>
      <c r="AZ65" s="52">
        <f>IF(AX65-AW65=0,0,(AX65-AW65)-(AY65*TIMEVALUE("00:30")))</f>
        <v>0.16666666666666663</v>
      </c>
      <c r="BA65" s="53" t="s">
        <v>133</v>
      </c>
      <c r="BB65" s="54"/>
      <c r="BC65" s="55"/>
      <c r="BD65" s="56"/>
      <c r="BE65" s="56"/>
      <c r="BF65" s="56"/>
      <c r="BG65" s="56"/>
    </row>
    <row r="66" spans="1:59" x14ac:dyDescent="0.25">
      <c r="A66" s="13"/>
      <c r="B66" s="13" t="s">
        <v>136</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v>47</v>
      </c>
      <c r="AN66" s="23"/>
      <c r="AO66" s="31"/>
      <c r="AP66" s="31"/>
      <c r="AQ66" s="635">
        <f>Absences268101214242[[#This Row],[debut]]</f>
        <v>0</v>
      </c>
      <c r="AV66" s="73"/>
      <c r="AW66" s="59" t="s">
        <v>126</v>
      </c>
      <c r="AX66" s="55"/>
      <c r="AY66" s="60"/>
      <c r="AZ66" s="52"/>
      <c r="BA66" s="53"/>
      <c r="BB66" s="54"/>
      <c r="BC66" s="55"/>
      <c r="BD66" s="56"/>
      <c r="BE66" s="56"/>
      <c r="BF66" s="56"/>
      <c r="BG66" s="56"/>
    </row>
    <row r="67" spans="1:59" x14ac:dyDescent="0.25">
      <c r="A67" s="13"/>
      <c r="B67" s="13"/>
      <c r="C67" s="13" t="s">
        <v>36</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v>48</v>
      </c>
      <c r="AN67" s="23"/>
      <c r="AO67" s="31"/>
      <c r="AP67" s="31"/>
      <c r="AQ67" s="635">
        <f>Absences268101214242[[#This Row],[debut]]</f>
        <v>0</v>
      </c>
      <c r="AV67" s="54"/>
      <c r="AW67" s="54"/>
      <c r="AX67" s="72"/>
      <c r="AY67" s="56"/>
      <c r="AZ67" s="54"/>
      <c r="BA67" s="54"/>
      <c r="BB67" s="54"/>
      <c r="BC67" s="55"/>
      <c r="BD67" s="56"/>
      <c r="BE67" s="56"/>
      <c r="BF67" s="56"/>
      <c r="BG67" s="56"/>
    </row>
    <row r="68" spans="1:59" ht="16.5" thickBot="1" x14ac:dyDescent="0.3">
      <c r="A68" s="13"/>
      <c r="B68" s="13"/>
      <c r="C68" s="13" t="s">
        <v>137</v>
      </c>
      <c r="D68" s="13"/>
      <c r="E68" s="13"/>
      <c r="F68" s="18"/>
      <c r="G68" s="18"/>
      <c r="H68" s="18"/>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v>49</v>
      </c>
      <c r="AN68" s="23"/>
      <c r="AO68" s="31"/>
      <c r="AP68" s="31"/>
      <c r="AQ68" s="635">
        <f>Absences268101214242[[#This Row],[debut]]</f>
        <v>0</v>
      </c>
      <c r="AV68" s="94" t="s">
        <v>104</v>
      </c>
      <c r="AW68" s="50">
        <v>0.58333333333333337</v>
      </c>
      <c r="AX68" s="50">
        <v>0.75</v>
      </c>
      <c r="AY68" s="51">
        <v>0</v>
      </c>
      <c r="AZ68" s="52">
        <f>IF(AX68-AW68=0,0,(AX68-AW68)-(AY68*TIMEVALUE("00:30")))</f>
        <v>0.16666666666666663</v>
      </c>
      <c r="BA68" s="61" t="s">
        <v>76</v>
      </c>
      <c r="BB68" s="54"/>
      <c r="BC68" s="55"/>
      <c r="BD68" s="56"/>
      <c r="BE68" s="56"/>
      <c r="BF68" s="56"/>
      <c r="BG68" s="56"/>
    </row>
    <row r="69" spans="1:59" x14ac:dyDescent="0.25">
      <c r="A69" s="13"/>
      <c r="B69" s="13"/>
      <c r="C69" s="13" t="s">
        <v>138</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v>50</v>
      </c>
      <c r="AN69" s="23"/>
      <c r="AO69" s="31"/>
      <c r="AP69" s="31"/>
      <c r="AQ69" s="635">
        <f>Absences268101214242[[#This Row],[debut]]</f>
        <v>0</v>
      </c>
      <c r="AV69" s="1506" t="s">
        <v>134</v>
      </c>
      <c r="AW69" s="1506"/>
      <c r="AX69" s="1506"/>
      <c r="AY69" s="1506"/>
      <c r="AZ69" s="1506"/>
      <c r="BA69" s="1506"/>
      <c r="BB69" s="1506"/>
      <c r="BC69" s="1506"/>
      <c r="BD69" s="1506"/>
      <c r="BE69" s="1506"/>
      <c r="BF69" s="1506"/>
      <c r="BG69" s="1506"/>
    </row>
    <row r="70" spans="1:59" x14ac:dyDescent="0.25">
      <c r="A70" s="13"/>
      <c r="B70" s="13"/>
      <c r="C70" s="45" t="s">
        <v>812</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v>51</v>
      </c>
      <c r="AN70" s="23"/>
      <c r="AO70" s="31"/>
      <c r="AP70" s="31"/>
      <c r="AQ70" s="635">
        <f>Absences268101214242[[#This Row],[debut]]</f>
        <v>0</v>
      </c>
      <c r="AV70" s="54"/>
      <c r="AW70" s="62"/>
      <c r="AX70" s="63"/>
      <c r="AY70" s="63"/>
      <c r="AZ70" s="63"/>
      <c r="BA70" s="63"/>
      <c r="BB70" s="63"/>
      <c r="BC70" s="63"/>
      <c r="BD70" s="63"/>
      <c r="BE70" s="63"/>
      <c r="BF70" s="63"/>
      <c r="BG70" s="63"/>
    </row>
    <row r="71" spans="1:59" ht="16.5" thickBot="1" x14ac:dyDescent="0.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v>52</v>
      </c>
      <c r="AN71" s="23"/>
      <c r="AO71" s="31"/>
      <c r="AP71" s="31"/>
      <c r="AQ71" s="635">
        <f>Absences268101214242[[#This Row],[debut]]</f>
        <v>0</v>
      </c>
      <c r="AV71" s="94" t="s">
        <v>105</v>
      </c>
      <c r="AW71" s="50">
        <v>0.3125</v>
      </c>
      <c r="AX71" s="50">
        <v>0.47916666666666669</v>
      </c>
      <c r="AY71" s="51">
        <v>0</v>
      </c>
      <c r="AZ71" s="52">
        <f>IF(AX71-AW71=0,0,(AX71-AW71)-(AY71*TIMEVALUE("00:30")))</f>
        <v>0.16666666666666669</v>
      </c>
      <c r="BA71" s="53" t="s">
        <v>77</v>
      </c>
      <c r="BB71" s="63"/>
      <c r="BC71" s="63"/>
      <c r="BD71" s="63"/>
      <c r="BE71" s="63"/>
      <c r="BF71" s="63"/>
      <c r="BG71" s="63"/>
    </row>
    <row r="72" spans="1:59" ht="21" x14ac:dyDescent="0.25">
      <c r="A72" s="13"/>
      <c r="B72" s="13"/>
      <c r="C72" s="625" t="s">
        <v>825</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v>53</v>
      </c>
      <c r="AN72" s="23"/>
      <c r="AO72" s="31"/>
      <c r="AP72" s="31"/>
      <c r="AQ72" s="635">
        <f>Absences268101214242[[#This Row],[debut]]</f>
        <v>0</v>
      </c>
      <c r="AV72"/>
      <c r="AW72"/>
      <c r="AX72"/>
      <c r="AY72"/>
      <c r="AZ72"/>
      <c r="BA72"/>
      <c r="BB72"/>
      <c r="BC72"/>
      <c r="BD72"/>
      <c r="BE72"/>
      <c r="BF72"/>
      <c r="BG72"/>
    </row>
    <row r="73" spans="1:59"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v>54</v>
      </c>
      <c r="AN73" s="23"/>
      <c r="AO73" s="31"/>
      <c r="AP73" s="31"/>
      <c r="AQ73" s="635">
        <f>Absences268101214242[[#This Row],[debut]]</f>
        <v>0</v>
      </c>
      <c r="AV73" s="682"/>
      <c r="AW73" s="682"/>
      <c r="AX73" s="682"/>
      <c r="AY73" s="682"/>
      <c r="AZ73" s="682"/>
      <c r="BA73" s="682"/>
      <c r="BB73" s="682"/>
      <c r="BC73" s="682"/>
      <c r="BD73" s="682"/>
      <c r="BE73" s="682"/>
      <c r="BF73" s="682"/>
      <c r="BG73" s="682"/>
    </row>
    <row r="74" spans="1:59" ht="20.2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v>55</v>
      </c>
      <c r="AN74" s="23"/>
      <c r="AO74" s="31"/>
      <c r="AP74" s="31"/>
      <c r="AQ74" s="635">
        <f>Absences268101214242[[#This Row],[debut]]</f>
        <v>0</v>
      </c>
      <c r="AV74" s="1499" t="s">
        <v>558</v>
      </c>
      <c r="AW74" s="1499"/>
      <c r="AX74" s="1499"/>
      <c r="AY74" s="1499"/>
      <c r="AZ74" s="1499"/>
      <c r="BA74" s="1499"/>
      <c r="BB74" s="1499"/>
      <c r="BC74" s="1499"/>
      <c r="BD74" s="56"/>
      <c r="BE74" s="56"/>
      <c r="BF74" s="56"/>
      <c r="BG74" s="56"/>
    </row>
    <row r="75" spans="1:59" ht="21.75" thickBot="1" x14ac:dyDescent="0.4">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v>56</v>
      </c>
      <c r="AN75" s="23"/>
      <c r="AO75" s="31"/>
      <c r="AP75" s="31"/>
      <c r="AQ75" s="635">
        <f>Absences268101214242[[#This Row],[debut]]</f>
        <v>0</v>
      </c>
      <c r="AV75" s="958" t="s">
        <v>921</v>
      </c>
      <c r="AW75" s="56"/>
      <c r="AX75" s="56"/>
      <c r="AY75" s="56"/>
      <c r="AZ75" s="56"/>
      <c r="BA75" s="56"/>
      <c r="BB75" s="56"/>
      <c r="BC75" s="56"/>
      <c r="BD75" s="56"/>
      <c r="BE75" s="56"/>
      <c r="BF75" s="56"/>
      <c r="BG75" s="56"/>
    </row>
    <row r="76" spans="1:59" ht="20.25"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v>57</v>
      </c>
      <c r="AN76" s="23"/>
      <c r="AO76" s="31"/>
      <c r="AP76" s="31"/>
      <c r="AQ76" s="635">
        <f>Absences268101214242[[#This Row],[debut]]</f>
        <v>0</v>
      </c>
      <c r="AV76" s="955" t="s">
        <v>922</v>
      </c>
      <c r="AW76" s="956"/>
      <c r="AX76" s="956"/>
      <c r="AY76" s="956"/>
      <c r="AZ76" s="956"/>
      <c r="BA76" s="956"/>
      <c r="BB76" s="956"/>
      <c r="BC76" s="957"/>
      <c r="BD76" s="56"/>
      <c r="BE76" s="56"/>
      <c r="BF76" s="56"/>
      <c r="BG76" s="56"/>
    </row>
    <row r="77" spans="1:59" ht="21" x14ac:dyDescent="0.3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v>58</v>
      </c>
      <c r="AN77" s="23"/>
      <c r="AO77" s="31"/>
      <c r="AP77" s="31"/>
      <c r="AQ77" s="635">
        <f>Absences268101214242[[#This Row],[debut]]</f>
        <v>0</v>
      </c>
      <c r="AV77" s="950" t="s">
        <v>560</v>
      </c>
      <c r="AW77" s="951" t="s">
        <v>561</v>
      </c>
      <c r="AX77" s="951" t="s">
        <v>562</v>
      </c>
      <c r="AY77" s="952"/>
      <c r="AZ77" s="951" t="s">
        <v>563</v>
      </c>
      <c r="BA77" s="951" t="s">
        <v>564</v>
      </c>
      <c r="BB77" s="953" t="s">
        <v>565</v>
      </c>
      <c r="BC77" s="954" t="s">
        <v>566</v>
      </c>
      <c r="BD77" s="56"/>
      <c r="BE77" s="56"/>
      <c r="BF77" s="56"/>
      <c r="BG77" s="56"/>
    </row>
    <row r="78" spans="1:59" ht="26.25" x14ac:dyDescent="0.4">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v>59</v>
      </c>
      <c r="AN78" s="23"/>
      <c r="AO78" s="31"/>
      <c r="AP78" s="31"/>
      <c r="AQ78" s="635">
        <f>Absences268101214242[[#This Row],[debut]]</f>
        <v>0</v>
      </c>
      <c r="AV78" s="934" t="s">
        <v>916</v>
      </c>
      <c r="AW78" s="935" t="s">
        <v>916</v>
      </c>
      <c r="AX78" s="935" t="s">
        <v>916</v>
      </c>
      <c r="AY78" s="936"/>
      <c r="AZ78" s="935" t="s">
        <v>916</v>
      </c>
      <c r="BA78" s="935" t="s">
        <v>916</v>
      </c>
      <c r="BB78" s="937"/>
      <c r="BC78" s="938"/>
      <c r="BD78" s="56"/>
      <c r="BE78" s="56"/>
      <c r="BF78" s="56"/>
      <c r="BG78" s="56"/>
    </row>
    <row r="79" spans="1:59" ht="26.25" x14ac:dyDescent="0.4">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v>60</v>
      </c>
      <c r="AN79" s="23"/>
      <c r="AO79" s="31"/>
      <c r="AP79" s="31"/>
      <c r="AQ79" s="635">
        <f>Absences268101214242[[#This Row],[debut]]</f>
        <v>0</v>
      </c>
      <c r="AV79" s="934" t="s">
        <v>917</v>
      </c>
      <c r="AW79" s="935" t="s">
        <v>917</v>
      </c>
      <c r="AX79" s="935" t="s">
        <v>917</v>
      </c>
      <c r="AY79" s="936"/>
      <c r="AZ79" s="935" t="s">
        <v>917</v>
      </c>
      <c r="BA79" s="935" t="s">
        <v>917</v>
      </c>
      <c r="BB79" s="935" t="s">
        <v>917</v>
      </c>
      <c r="BC79" s="939" t="s">
        <v>917</v>
      </c>
      <c r="BD79" s="56"/>
      <c r="BE79" s="56"/>
      <c r="BF79" s="56"/>
      <c r="BG79" s="56"/>
    </row>
    <row r="80" spans="1:59" ht="26.25"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v>61</v>
      </c>
      <c r="AN80" s="23"/>
      <c r="AO80" s="31"/>
      <c r="AP80" s="31"/>
      <c r="AQ80" s="635">
        <f>Absences268101214242[[#This Row],[debut]]</f>
        <v>0</v>
      </c>
      <c r="AV80" s="940"/>
      <c r="AW80" s="941" t="s">
        <v>918</v>
      </c>
      <c r="AX80" s="937"/>
      <c r="AY80" s="937"/>
      <c r="AZ80" s="937"/>
      <c r="BA80" s="937"/>
      <c r="BB80" s="941" t="s">
        <v>918</v>
      </c>
      <c r="BC80" s="942" t="s">
        <v>918</v>
      </c>
      <c r="BD80" s="56"/>
      <c r="BE80" s="56"/>
      <c r="BF80" s="56"/>
      <c r="BG80" s="56"/>
    </row>
    <row r="81" spans="1:59" ht="26.25" x14ac:dyDescent="0.4">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v>62</v>
      </c>
      <c r="AN81" s="23"/>
      <c r="AO81" s="31"/>
      <c r="AP81" s="31"/>
      <c r="AQ81" s="635">
        <f>Absences268101214242[[#This Row],[debut]]</f>
        <v>0</v>
      </c>
      <c r="AV81" s="943" t="s">
        <v>919</v>
      </c>
      <c r="AW81" s="941" t="s">
        <v>919</v>
      </c>
      <c r="AX81" s="944" t="s">
        <v>919</v>
      </c>
      <c r="AY81" s="945"/>
      <c r="AZ81" s="941" t="s">
        <v>919</v>
      </c>
      <c r="BA81" s="941" t="s">
        <v>919</v>
      </c>
      <c r="BB81" s="941" t="s">
        <v>919</v>
      </c>
      <c r="BC81" s="942" t="s">
        <v>919</v>
      </c>
      <c r="BD81" s="56"/>
      <c r="BE81" s="56"/>
      <c r="BF81" s="56"/>
      <c r="BG81" s="56"/>
    </row>
    <row r="82" spans="1:59" ht="26.25" x14ac:dyDescent="0.25">
      <c r="A82" s="13"/>
      <c r="B82" s="13"/>
      <c r="C82" s="625" t="s">
        <v>1046</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v>63</v>
      </c>
      <c r="AN82" s="23"/>
      <c r="AO82" s="31"/>
      <c r="AP82" s="31"/>
      <c r="AQ82" s="635">
        <f>Absences268101214242[[#This Row],[debut]]</f>
        <v>0</v>
      </c>
      <c r="AV82" s="940"/>
      <c r="AW82" s="937"/>
      <c r="AX82" s="935" t="s">
        <v>920</v>
      </c>
      <c r="AY82" s="937"/>
      <c r="AZ82" s="937"/>
      <c r="BA82" s="935" t="s">
        <v>920</v>
      </c>
      <c r="BB82" s="937"/>
      <c r="BC82" s="938"/>
      <c r="BD82" s="960"/>
      <c r="BE82" s="56"/>
      <c r="BF82" s="56"/>
      <c r="BG82" s="56"/>
    </row>
    <row r="83" spans="1:59" ht="26.25" x14ac:dyDescent="0.4">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v>64</v>
      </c>
      <c r="AN83" s="23"/>
      <c r="AO83" s="31"/>
      <c r="AP83" s="31"/>
      <c r="AQ83" s="635">
        <f>Absences268101214242[[#This Row],[debut]]</f>
        <v>0</v>
      </c>
      <c r="AV83" s="946" t="s">
        <v>557</v>
      </c>
      <c r="AW83" s="937"/>
      <c r="AX83" s="947" t="s">
        <v>557</v>
      </c>
      <c r="AY83" s="945"/>
      <c r="AZ83" s="947" t="s">
        <v>557</v>
      </c>
      <c r="BA83" s="947" t="s">
        <v>557</v>
      </c>
      <c r="BB83" s="937"/>
      <c r="BC83" s="938"/>
      <c r="BD83" s="56"/>
      <c r="BE83" s="56"/>
      <c r="BF83" s="56"/>
      <c r="BG83" s="56"/>
    </row>
    <row r="84" spans="1:59" ht="27" thickBot="1" x14ac:dyDescent="0.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v>65</v>
      </c>
      <c r="AN84" s="23"/>
      <c r="AO84" s="31"/>
      <c r="AP84" s="31"/>
      <c r="AQ84" s="635">
        <f>Absences268101214242[[#This Row],[debut]]</f>
        <v>0</v>
      </c>
      <c r="AV84" s="932" t="s">
        <v>913</v>
      </c>
      <c r="AW84" s="963"/>
      <c r="AX84" s="933" t="s">
        <v>913</v>
      </c>
      <c r="AY84" s="933"/>
      <c r="AZ84" s="933" t="s">
        <v>913</v>
      </c>
      <c r="BA84" s="933" t="s">
        <v>913</v>
      </c>
      <c r="BB84" s="948"/>
      <c r="BC84" s="949"/>
      <c r="BD84" s="960"/>
      <c r="BE84" s="56"/>
      <c r="BF84" s="56"/>
      <c r="BG84" s="56"/>
    </row>
    <row r="85" spans="1:59" ht="16.5"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v>66</v>
      </c>
      <c r="AN85" s="23"/>
      <c r="AO85" s="31"/>
      <c r="AP85" s="31"/>
      <c r="AQ85" s="635">
        <f>Absences268101214242[[#This Row],[debut]]</f>
        <v>0</v>
      </c>
      <c r="AV85" s="959" t="s">
        <v>567</v>
      </c>
      <c r="AW85" s="959" t="s">
        <v>568</v>
      </c>
      <c r="AX85" s="959" t="s">
        <v>569</v>
      </c>
      <c r="AY85" s="56"/>
      <c r="AZ85" s="959" t="s">
        <v>556</v>
      </c>
      <c r="BA85" s="959" t="s">
        <v>570</v>
      </c>
      <c r="BB85" s="959" t="s">
        <v>571</v>
      </c>
      <c r="BC85" s="959" t="s">
        <v>572</v>
      </c>
      <c r="BD85" s="56"/>
      <c r="BE85" s="56"/>
      <c r="BF85" s="56"/>
      <c r="BG85" s="56"/>
    </row>
    <row r="86" spans="1:59" ht="18"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v>67</v>
      </c>
      <c r="AN86" s="23"/>
      <c r="AO86" s="31"/>
      <c r="AP86" s="31"/>
      <c r="AQ86" s="635">
        <f>Absences268101214242[[#This Row],[debut]]</f>
        <v>0</v>
      </c>
      <c r="AV86" s="273">
        <v>1.2708333333333333</v>
      </c>
      <c r="AW86" s="273">
        <v>1.1041666666666667</v>
      </c>
      <c r="AX86" s="273">
        <v>1.3958333333333333</v>
      </c>
      <c r="AZ86" s="273">
        <v>1.2708333333333333</v>
      </c>
      <c r="BA86" s="273">
        <v>1.3541666666666667</v>
      </c>
      <c r="BB86" s="273">
        <v>0.875</v>
      </c>
      <c r="BC86" s="273">
        <v>0.875</v>
      </c>
      <c r="BD86" s="56"/>
      <c r="BE86" s="56"/>
      <c r="BF86" s="56"/>
      <c r="BG86" s="56"/>
    </row>
    <row r="87" spans="1:59" ht="18" x14ac:dyDescent="0.25">
      <c r="A87" s="13"/>
      <c r="AJ87" s="13"/>
      <c r="AK87" s="13"/>
      <c r="AL87" s="13">
        <v>68</v>
      </c>
      <c r="AN87" s="23"/>
      <c r="AO87" s="31"/>
      <c r="AP87" s="31"/>
      <c r="AQ87" s="635">
        <f>Absences268101214242[[#This Row],[debut]]</f>
        <v>0</v>
      </c>
      <c r="AV87" s="960"/>
      <c r="AW87" s="960"/>
      <c r="AX87" s="960"/>
      <c r="AY87" s="960"/>
      <c r="AZ87" s="960"/>
      <c r="BA87" s="960"/>
      <c r="BB87" s="961" t="s">
        <v>555</v>
      </c>
      <c r="BC87" s="961"/>
      <c r="BD87" s="56"/>
      <c r="BE87" s="56"/>
      <c r="BF87" s="56"/>
      <c r="BG87" s="56"/>
    </row>
    <row r="88" spans="1:59" ht="20.25" x14ac:dyDescent="0.25">
      <c r="A88" s="13"/>
      <c r="AL88" s="13">
        <v>69</v>
      </c>
      <c r="AN88" s="23"/>
      <c r="AO88" s="31"/>
      <c r="AP88" s="31"/>
      <c r="AQ88" s="635">
        <f>Absences268101214242[[#This Row],[debut]]</f>
        <v>0</v>
      </c>
      <c r="AV88" s="960"/>
      <c r="AW88" s="56"/>
      <c r="AX88" s="56"/>
      <c r="AY88" s="56"/>
      <c r="AZ88" s="56"/>
      <c r="BA88" s="962" t="s">
        <v>573</v>
      </c>
      <c r="BB88" s="271">
        <f>SUM(AV86:BC86)</f>
        <v>8.1458333333333321</v>
      </c>
      <c r="BC88" s="272"/>
      <c r="BD88" s="960"/>
      <c r="BE88" s="56"/>
      <c r="BF88" s="56"/>
      <c r="BG88" s="56"/>
    </row>
    <row r="89" spans="1:59" x14ac:dyDescent="0.25">
      <c r="A89" s="13"/>
      <c r="AL89" s="13">
        <v>70</v>
      </c>
      <c r="AN89" s="23"/>
      <c r="AO89" s="31"/>
      <c r="AP89" s="31"/>
      <c r="AQ89" s="635">
        <f>Absences268101214242[[#This Row],[debut]]</f>
        <v>0</v>
      </c>
      <c r="AV89" s="56"/>
      <c r="AW89" s="56"/>
      <c r="AX89" s="56"/>
      <c r="AY89" s="56"/>
      <c r="AZ89" s="56"/>
      <c r="BA89" s="56"/>
      <c r="BB89" s="56"/>
      <c r="BC89" s="56"/>
      <c r="BD89" s="960"/>
      <c r="BE89" s="960"/>
      <c r="BF89" s="960"/>
      <c r="BG89" s="56"/>
    </row>
    <row r="90" spans="1:59" x14ac:dyDescent="0.25">
      <c r="A90" s="13"/>
      <c r="AL90" s="13">
        <v>71</v>
      </c>
      <c r="AN90" s="23"/>
      <c r="AO90" s="31"/>
      <c r="AP90" s="31"/>
      <c r="AQ90" s="635">
        <f>Absences268101214242[[#This Row],[debut]]</f>
        <v>0</v>
      </c>
      <c r="AV90" s="56"/>
      <c r="AW90" s="56"/>
      <c r="AX90" s="56"/>
      <c r="AY90" s="56"/>
      <c r="AZ90" s="56"/>
      <c r="BA90" s="56"/>
      <c r="BB90" s="56"/>
      <c r="BC90" s="56"/>
      <c r="BD90" s="960"/>
      <c r="BE90" s="960"/>
      <c r="BF90" s="960"/>
      <c r="BG90" s="960"/>
    </row>
    <row r="91" spans="1:59" x14ac:dyDescent="0.25">
      <c r="A91" s="13"/>
      <c r="AL91" s="13">
        <v>72</v>
      </c>
      <c r="AN91" s="23"/>
      <c r="AO91" s="31"/>
      <c r="AP91" s="31"/>
      <c r="AQ91" s="635">
        <f>Absences268101214242[[#This Row],[debut]]</f>
        <v>0</v>
      </c>
      <c r="AV91" s="56"/>
      <c r="AW91" s="56"/>
      <c r="AX91" s="56"/>
      <c r="AY91" s="56"/>
      <c r="AZ91" s="56"/>
      <c r="BA91" s="56"/>
      <c r="BB91" s="56"/>
      <c r="BC91" s="56"/>
      <c r="BD91" s="960"/>
      <c r="BE91" s="960"/>
      <c r="BF91" s="960"/>
      <c r="BG91" s="960"/>
    </row>
    <row r="92" spans="1:59" x14ac:dyDescent="0.25">
      <c r="A92" s="13"/>
      <c r="AL92" s="13">
        <v>73</v>
      </c>
      <c r="AN92" s="23"/>
      <c r="AO92" s="31"/>
      <c r="AP92" s="31"/>
      <c r="AQ92" s="635">
        <f>Absences268101214242[[#This Row],[debut]]</f>
        <v>0</v>
      </c>
      <c r="AV92" s="56"/>
      <c r="AW92" s="56"/>
      <c r="AX92" s="56"/>
      <c r="AY92" s="56"/>
      <c r="AZ92" s="56"/>
      <c r="BA92" s="56"/>
      <c r="BB92" s="56"/>
      <c r="BC92" s="56"/>
      <c r="BD92" s="960"/>
      <c r="BE92" s="960"/>
      <c r="BF92" s="960"/>
      <c r="BG92" s="960"/>
    </row>
    <row r="93" spans="1:59" x14ac:dyDescent="0.25">
      <c r="A93" s="13"/>
      <c r="AL93" s="13">
        <v>74</v>
      </c>
      <c r="AN93" s="23"/>
      <c r="AO93" s="31"/>
      <c r="AP93" s="31"/>
      <c r="AQ93" s="635">
        <f>Absences268101214242[[#This Row],[debut]]</f>
        <v>0</v>
      </c>
      <c r="AV93" s="56"/>
      <c r="AW93" s="56"/>
      <c r="AX93" s="56"/>
      <c r="AY93" s="56"/>
      <c r="AZ93" s="56"/>
      <c r="BA93" s="56"/>
      <c r="BB93" s="56"/>
      <c r="BC93" s="56"/>
      <c r="BD93" s="960"/>
      <c r="BE93" s="960"/>
      <c r="BF93" s="960"/>
      <c r="BG93" s="960"/>
    </row>
    <row r="94" spans="1:59" x14ac:dyDescent="0.25">
      <c r="A94" s="13"/>
      <c r="AL94" s="13">
        <v>75</v>
      </c>
      <c r="AN94" s="23"/>
      <c r="AO94" s="31"/>
      <c r="AP94" s="31"/>
      <c r="AQ94" s="635">
        <f>Absences268101214242[[#This Row],[debut]]</f>
        <v>0</v>
      </c>
      <c r="AV94" s="56"/>
      <c r="AW94" s="56"/>
      <c r="AX94" s="56"/>
      <c r="AY94" s="56"/>
      <c r="AZ94" s="56"/>
      <c r="BA94" s="56"/>
      <c r="BB94" s="56"/>
      <c r="BC94" s="960"/>
      <c r="BD94" s="960"/>
      <c r="BE94" s="960"/>
      <c r="BF94" s="960"/>
      <c r="BG94" s="960"/>
    </row>
    <row r="95" spans="1:59" x14ac:dyDescent="0.25">
      <c r="A95" s="13"/>
      <c r="AL95" s="13">
        <v>76</v>
      </c>
      <c r="AN95" s="23"/>
      <c r="AO95" s="31"/>
      <c r="AP95" s="31"/>
      <c r="AQ95" s="635">
        <f>Absences268101214242[[#This Row],[debut]]</f>
        <v>0</v>
      </c>
      <c r="AV95" s="56"/>
      <c r="AW95" s="56"/>
      <c r="AX95" s="56"/>
      <c r="AY95" s="56"/>
      <c r="AZ95" s="56"/>
      <c r="BA95" s="56"/>
      <c r="BB95" s="56"/>
      <c r="BC95" s="960"/>
      <c r="BD95" s="960"/>
      <c r="BE95" s="960"/>
      <c r="BF95" s="960"/>
      <c r="BG95" s="960"/>
    </row>
    <row r="96" spans="1:59" x14ac:dyDescent="0.25">
      <c r="A96" s="13"/>
      <c r="AL96" s="13">
        <v>77</v>
      </c>
      <c r="AN96" s="23"/>
      <c r="AO96" s="31"/>
      <c r="AP96" s="31"/>
      <c r="AQ96" s="635">
        <f>Absences268101214242[[#This Row],[debut]]</f>
        <v>0</v>
      </c>
      <c r="AV96" s="56"/>
      <c r="AW96" s="56"/>
      <c r="AX96" s="56"/>
      <c r="AY96" s="56"/>
      <c r="AZ96" s="56"/>
      <c r="BA96" s="56"/>
      <c r="BB96" s="56"/>
      <c r="BC96" s="56"/>
      <c r="BD96" s="56"/>
      <c r="BE96" s="56"/>
      <c r="BF96" s="56"/>
      <c r="BG96" s="56"/>
    </row>
    <row r="97" spans="1:59" x14ac:dyDescent="0.25">
      <c r="A97" s="13"/>
      <c r="AL97" s="13">
        <v>78</v>
      </c>
      <c r="AN97" s="23"/>
      <c r="AO97" s="31"/>
      <c r="AP97" s="31"/>
      <c r="AQ97" s="635">
        <f>Absences268101214242[[#This Row],[debut]]</f>
        <v>0</v>
      </c>
      <c r="AV97" s="389"/>
      <c r="AW97" s="389"/>
      <c r="AX97" s="389"/>
      <c r="AY97" s="389"/>
      <c r="AZ97" s="389"/>
      <c r="BA97" s="389"/>
      <c r="BB97" s="389"/>
      <c r="BC97" s="389"/>
      <c r="BD97" s="389"/>
      <c r="BE97" s="389"/>
      <c r="BF97" s="389"/>
      <c r="BG97" s="389"/>
    </row>
    <row r="98" spans="1:59" x14ac:dyDescent="0.25">
      <c r="A98" s="13"/>
      <c r="AL98" s="13">
        <v>79</v>
      </c>
      <c r="AN98" s="23"/>
      <c r="AO98" s="31"/>
      <c r="AP98" s="31"/>
      <c r="AQ98" s="635">
        <f>Absences268101214242[[#This Row],[debut]]</f>
        <v>0</v>
      </c>
      <c r="AV98" s="386"/>
      <c r="AW98" s="386"/>
      <c r="AX98" s="386"/>
      <c r="AY98" s="386"/>
      <c r="AZ98" s="386"/>
      <c r="BA98" s="386"/>
      <c r="BB98" s="386"/>
      <c r="BC98" s="386"/>
      <c r="BD98" s="386"/>
      <c r="BE98" s="386"/>
      <c r="BF98" s="386"/>
      <c r="BG98" s="386"/>
    </row>
    <row r="99" spans="1:59" x14ac:dyDescent="0.25">
      <c r="A99" s="13"/>
      <c r="AL99" s="13">
        <v>80</v>
      </c>
      <c r="AN99" s="23"/>
      <c r="AO99" s="31"/>
      <c r="AP99" s="31"/>
      <c r="AQ99" s="635">
        <f>Absences268101214242[[#This Row],[debut]]</f>
        <v>0</v>
      </c>
      <c r="AV99" s="386"/>
      <c r="AW99" s="386"/>
      <c r="AX99" s="386"/>
      <c r="AY99" s="386"/>
      <c r="AZ99" s="386"/>
      <c r="BA99" s="386"/>
      <c r="BB99" s="386"/>
      <c r="BC99" s="386"/>
      <c r="BD99" s="386"/>
      <c r="BE99" s="386"/>
      <c r="BF99" s="386"/>
      <c r="BG99" s="386"/>
    </row>
    <row r="100" spans="1:59" x14ac:dyDescent="0.25">
      <c r="A100" s="13"/>
      <c r="AL100" s="13">
        <v>81</v>
      </c>
      <c r="AN100" s="23"/>
      <c r="AO100" s="31"/>
      <c r="AP100" s="31"/>
      <c r="AQ100" s="635">
        <f>Absences268101214242[[#This Row],[debut]]</f>
        <v>0</v>
      </c>
      <c r="AV100" s="386"/>
      <c r="AW100" s="386"/>
      <c r="AX100" s="386"/>
      <c r="AY100" s="386"/>
      <c r="AZ100" s="386"/>
      <c r="BA100" s="386"/>
      <c r="BB100" s="386"/>
      <c r="BC100" s="386"/>
      <c r="BD100" s="386"/>
      <c r="BE100" s="386"/>
      <c r="BF100" s="386"/>
      <c r="BG100" s="386"/>
    </row>
    <row r="101" spans="1:59" x14ac:dyDescent="0.25">
      <c r="A101" s="13"/>
      <c r="AL101" s="13">
        <v>82</v>
      </c>
      <c r="AN101" s="23"/>
      <c r="AO101" s="31"/>
      <c r="AP101" s="31"/>
      <c r="AQ101" s="635">
        <f>Absences268101214242[[#This Row],[debut]]</f>
        <v>0</v>
      </c>
      <c r="AV101" s="386"/>
      <c r="AW101" s="386"/>
      <c r="AX101" s="386"/>
      <c r="AY101" s="386"/>
      <c r="AZ101" s="386"/>
      <c r="BA101" s="386"/>
      <c r="BB101" s="386"/>
      <c r="BC101" s="386"/>
      <c r="BD101" s="386"/>
      <c r="BE101" s="386"/>
      <c r="BF101" s="386"/>
      <c r="BG101" s="386"/>
    </row>
    <row r="102" spans="1:59" x14ac:dyDescent="0.25">
      <c r="A102" s="13"/>
      <c r="AL102" s="13">
        <v>83</v>
      </c>
      <c r="AN102" s="23"/>
      <c r="AO102" s="31"/>
      <c r="AP102" s="31"/>
      <c r="AQ102" s="635">
        <f>Absences268101214242[[#This Row],[debut]]</f>
        <v>0</v>
      </c>
      <c r="AV102" s="56"/>
      <c r="AW102" s="56"/>
      <c r="AX102" s="56"/>
      <c r="AY102" s="56"/>
      <c r="AZ102" s="56"/>
      <c r="BA102" s="56"/>
      <c r="BB102" s="56"/>
      <c r="BC102" s="56"/>
      <c r="BD102" s="56"/>
      <c r="BE102" s="56"/>
      <c r="BF102" s="56"/>
      <c r="BG102" s="56"/>
    </row>
    <row r="103" spans="1:59" x14ac:dyDescent="0.25">
      <c r="A103" s="13"/>
      <c r="AL103" s="13">
        <v>84</v>
      </c>
      <c r="AN103" s="23"/>
      <c r="AO103" s="31"/>
      <c r="AP103" s="31"/>
      <c r="AQ103" s="635">
        <f>Absences268101214242[[#This Row],[debut]]</f>
        <v>0</v>
      </c>
      <c r="AV103" s="56"/>
      <c r="AW103" s="56"/>
      <c r="AX103" s="56"/>
      <c r="AY103" s="56"/>
      <c r="AZ103" s="56"/>
      <c r="BA103" s="56"/>
      <c r="BB103" s="56"/>
      <c r="BC103" s="56"/>
      <c r="BD103" s="56"/>
      <c r="BE103" s="56"/>
      <c r="BF103" s="56"/>
      <c r="BG103" s="56"/>
    </row>
    <row r="104" spans="1:59" x14ac:dyDescent="0.25">
      <c r="A104" s="13"/>
      <c r="AL104" s="13">
        <v>85</v>
      </c>
      <c r="AN104" s="23"/>
      <c r="AO104" s="31"/>
      <c r="AP104" s="31"/>
      <c r="AQ104" s="635">
        <f>Absences268101214242[[#This Row],[debut]]</f>
        <v>0</v>
      </c>
    </row>
    <row r="105" spans="1:59" x14ac:dyDescent="0.25">
      <c r="A105" s="13"/>
      <c r="AL105" s="13">
        <v>86</v>
      </c>
      <c r="AN105" s="23"/>
      <c r="AO105" s="31"/>
      <c r="AP105" s="31"/>
      <c r="AQ105" s="635">
        <f>Absences268101214242[[#This Row],[debut]]</f>
        <v>0</v>
      </c>
    </row>
    <row r="106" spans="1:59" x14ac:dyDescent="0.25">
      <c r="A106" s="13"/>
      <c r="AL106" s="13">
        <v>87</v>
      </c>
      <c r="AN106" s="23"/>
      <c r="AO106" s="31"/>
      <c r="AP106" s="31"/>
      <c r="AQ106" s="635">
        <f>Absences268101214242[[#This Row],[debut]]</f>
        <v>0</v>
      </c>
    </row>
    <row r="107" spans="1:59" ht="14.25" customHeight="1" x14ac:dyDescent="0.25">
      <c r="A107" s="13"/>
      <c r="AL107" s="13">
        <v>88</v>
      </c>
      <c r="AN107" s="23"/>
      <c r="AO107" s="31"/>
      <c r="AP107" s="31"/>
      <c r="AQ107" s="635">
        <f>Absences268101214242[[#This Row],[debut]]</f>
        <v>0</v>
      </c>
    </row>
    <row r="108" spans="1:59" x14ac:dyDescent="0.25">
      <c r="A108" s="13"/>
      <c r="AL108" s="13">
        <v>89</v>
      </c>
      <c r="AN108" s="23"/>
      <c r="AO108" s="31"/>
      <c r="AP108" s="31"/>
      <c r="AQ108" s="635">
        <f>Absences268101214242[[#This Row],[debut]]</f>
        <v>0</v>
      </c>
    </row>
    <row r="109" spans="1:59" x14ac:dyDescent="0.25">
      <c r="A109" s="13"/>
      <c r="AL109" s="13">
        <v>90</v>
      </c>
      <c r="AN109" s="23"/>
      <c r="AO109" s="31"/>
      <c r="AP109" s="31"/>
      <c r="AQ109" s="635">
        <f>Absences268101214242[[#This Row],[debut]]</f>
        <v>0</v>
      </c>
    </row>
    <row r="110" spans="1:59" x14ac:dyDescent="0.25">
      <c r="A110" s="13"/>
      <c r="AL110" s="13">
        <v>91</v>
      </c>
      <c r="AN110" s="23"/>
      <c r="AO110" s="31"/>
      <c r="AP110" s="31"/>
      <c r="AQ110" s="635">
        <f>Absences268101214242[[#This Row],[debut]]</f>
        <v>0</v>
      </c>
    </row>
    <row r="111" spans="1:59" x14ac:dyDescent="0.25">
      <c r="A111" s="13"/>
      <c r="AL111" s="13">
        <v>92</v>
      </c>
      <c r="AN111" s="23"/>
      <c r="AO111" s="31"/>
      <c r="AP111" s="31"/>
      <c r="AQ111" s="635">
        <f>Absences268101214242[[#This Row],[debut]]</f>
        <v>0</v>
      </c>
    </row>
    <row r="112" spans="1:59" x14ac:dyDescent="0.25">
      <c r="A112" s="13"/>
      <c r="AL112" s="13">
        <v>93</v>
      </c>
      <c r="AN112" s="23"/>
      <c r="AO112" s="31"/>
      <c r="AP112" s="31"/>
      <c r="AQ112" s="635">
        <f>Absences268101214242[[#This Row],[debut]]</f>
        <v>0</v>
      </c>
    </row>
    <row r="113" spans="1:43" ht="14.25" customHeight="1" x14ac:dyDescent="0.25">
      <c r="A113" s="13"/>
      <c r="AL113" s="13">
        <v>94</v>
      </c>
      <c r="AN113" s="23"/>
      <c r="AO113" s="31"/>
      <c r="AP113" s="31"/>
      <c r="AQ113" s="635">
        <f>Absences268101214242[[#This Row],[debut]]</f>
        <v>0</v>
      </c>
    </row>
    <row r="114" spans="1:43" x14ac:dyDescent="0.25">
      <c r="A114" s="13"/>
      <c r="AL114" s="13">
        <v>95</v>
      </c>
      <c r="AN114" s="23"/>
      <c r="AO114" s="31"/>
      <c r="AP114" s="31"/>
      <c r="AQ114" s="635">
        <f>Absences268101214242[[#This Row],[debut]]</f>
        <v>0</v>
      </c>
    </row>
    <row r="115" spans="1:43" x14ac:dyDescent="0.25">
      <c r="A115" s="13"/>
      <c r="AL115" s="13">
        <v>96</v>
      </c>
      <c r="AN115" s="23"/>
      <c r="AO115" s="31"/>
      <c r="AP115" s="31"/>
      <c r="AQ115" s="635">
        <f>Absences268101214242[[#This Row],[debut]]</f>
        <v>0</v>
      </c>
    </row>
    <row r="116" spans="1:43" x14ac:dyDescent="0.25">
      <c r="A116" s="13"/>
      <c r="AL116" s="13">
        <v>97</v>
      </c>
      <c r="AN116" s="23"/>
      <c r="AO116" s="31"/>
      <c r="AP116" s="31"/>
      <c r="AQ116" s="635">
        <f>Absences268101214242[[#This Row],[debut]]</f>
        <v>0</v>
      </c>
    </row>
    <row r="117" spans="1:43" x14ac:dyDescent="0.25">
      <c r="A117" s="13"/>
      <c r="AL117" s="13">
        <v>98</v>
      </c>
      <c r="AN117" s="23"/>
      <c r="AO117" s="31"/>
      <c r="AP117" s="31"/>
      <c r="AQ117" s="635">
        <f>Absences268101214242[[#This Row],[debut]]</f>
        <v>0</v>
      </c>
    </row>
    <row r="118" spans="1:43" x14ac:dyDescent="0.25">
      <c r="A118" s="13"/>
      <c r="AL118" s="13">
        <v>99</v>
      </c>
      <c r="AN118" s="23"/>
      <c r="AO118" s="31"/>
      <c r="AP118" s="31"/>
      <c r="AQ118" s="635">
        <f>Absences268101214242[[#This Row],[debut]]</f>
        <v>0</v>
      </c>
    </row>
    <row r="119" spans="1:43" ht="14.25" customHeight="1" x14ac:dyDescent="0.25">
      <c r="A119" s="13"/>
      <c r="AL119" s="13">
        <v>100</v>
      </c>
      <c r="AN119" s="22"/>
      <c r="AO119" s="31"/>
      <c r="AP119" s="31"/>
      <c r="AQ119" s="635">
        <f>Absences268101214242[[#This Row],[debut]]</f>
        <v>0</v>
      </c>
    </row>
    <row r="120" spans="1:43" x14ac:dyDescent="0.25">
      <c r="A120" s="13"/>
    </row>
    <row r="121" spans="1:43" x14ac:dyDescent="0.25">
      <c r="A121" s="13"/>
    </row>
    <row r="122" spans="1:43" x14ac:dyDescent="0.25">
      <c r="A122" s="13"/>
    </row>
    <row r="123" spans="1:43" x14ac:dyDescent="0.25">
      <c r="A123" s="13"/>
    </row>
    <row r="124" spans="1:43" x14ac:dyDescent="0.25">
      <c r="A124" s="13"/>
    </row>
    <row r="125" spans="1:43" ht="14.25" customHeight="1" x14ac:dyDescent="0.25">
      <c r="A125" s="13"/>
    </row>
    <row r="126" spans="1:43" x14ac:dyDescent="0.25">
      <c r="A126" s="13"/>
    </row>
    <row r="127" spans="1:43" x14ac:dyDescent="0.25">
      <c r="A127" s="13"/>
    </row>
    <row r="128" spans="1:43" x14ac:dyDescent="0.25">
      <c r="A128" s="13"/>
    </row>
    <row r="129" spans="1:1" x14ac:dyDescent="0.25">
      <c r="A129" s="13"/>
    </row>
    <row r="130" spans="1:1" x14ac:dyDescent="0.25">
      <c r="A130" s="13"/>
    </row>
    <row r="131" spans="1:1" ht="14.25" customHeight="1" x14ac:dyDescent="0.25">
      <c r="A131" s="13"/>
    </row>
    <row r="132" spans="1:1" x14ac:dyDescent="0.25">
      <c r="A132" s="13"/>
    </row>
    <row r="133" spans="1:1" x14ac:dyDescent="0.25">
      <c r="A133" s="13"/>
    </row>
    <row r="134" spans="1:1" x14ac:dyDescent="0.25">
      <c r="A134" s="13"/>
    </row>
    <row r="135" spans="1:1" x14ac:dyDescent="0.25">
      <c r="A135" s="13"/>
    </row>
    <row r="136" spans="1:1" x14ac:dyDescent="0.25">
      <c r="A136" s="13"/>
    </row>
    <row r="137" spans="1:1" ht="14.25" customHeight="1" x14ac:dyDescent="0.25">
      <c r="A137" s="13"/>
    </row>
    <row r="138" spans="1:1" x14ac:dyDescent="0.25">
      <c r="A138" s="13"/>
    </row>
    <row r="139" spans="1:1" x14ac:dyDescent="0.25">
      <c r="A139" s="13"/>
    </row>
    <row r="140" spans="1:1" x14ac:dyDescent="0.25">
      <c r="A140" s="13"/>
    </row>
    <row r="141" spans="1:1" x14ac:dyDescent="0.25">
      <c r="A141" s="13"/>
    </row>
    <row r="142" spans="1:1" x14ac:dyDescent="0.25">
      <c r="A142" s="13"/>
    </row>
    <row r="143" spans="1:1" x14ac:dyDescent="0.25">
      <c r="A143" s="13"/>
    </row>
  </sheetData>
  <mergeCells count="26">
    <mergeCell ref="BZ2:CE3"/>
    <mergeCell ref="BZ4:CB4"/>
    <mergeCell ref="CD4:CE4"/>
    <mergeCell ref="CD5:CE5"/>
    <mergeCell ref="BZ20:CB20"/>
    <mergeCell ref="AS18:AT18"/>
    <mergeCell ref="AK35:AK39"/>
    <mergeCell ref="C55:D55"/>
    <mergeCell ref="C56:D56"/>
    <mergeCell ref="A1:AI1"/>
    <mergeCell ref="C9:AG9"/>
    <mergeCell ref="C2:G3"/>
    <mergeCell ref="I2:Q3"/>
    <mergeCell ref="U2:AG3"/>
    <mergeCell ref="I4:Q7"/>
    <mergeCell ref="AQ15:AQ16"/>
    <mergeCell ref="AK17:AK19"/>
    <mergeCell ref="AM18:AQ18"/>
    <mergeCell ref="AV74:BC74"/>
    <mergeCell ref="AV48:BG49"/>
    <mergeCell ref="AV69:BG69"/>
    <mergeCell ref="AV2:BD2"/>
    <mergeCell ref="AV4:BG4"/>
    <mergeCell ref="AV5:AV7"/>
    <mergeCell ref="AY7:BB7"/>
    <mergeCell ref="AV34:BG35"/>
  </mergeCells>
  <conditionalFormatting sqref="C10:AG12">
    <cfRule type="expression" dxfId="135" priority="214">
      <formula>OR(C$11=1,C$11=7)</formula>
    </cfRule>
  </conditionalFormatting>
  <conditionalFormatting sqref="AN119">
    <cfRule type="cellIs" dxfId="134" priority="145" operator="equal">
      <formula>"C"</formula>
    </cfRule>
    <cfRule type="cellIs" dxfId="133" priority="146" operator="equal">
      <formula>"M"</formula>
    </cfRule>
    <cfRule type="cellIs" dxfId="132" priority="147" operator="equal">
      <formula>"RTT"</formula>
    </cfRule>
    <cfRule type="cellIs" dxfId="131" priority="148" operator="equal">
      <formula>"C"</formula>
    </cfRule>
  </conditionalFormatting>
  <conditionalFormatting sqref="AN119">
    <cfRule type="expression" dxfId="130" priority="149">
      <formula>OR(#REF!=1,#REF!=7)</formula>
    </cfRule>
  </conditionalFormatting>
  <conditionalFormatting sqref="C40:AG40">
    <cfRule type="cellIs" dxfId="129" priority="60" operator="equal">
      <formula>"C"</formula>
    </cfRule>
    <cfRule type="cellIs" dxfId="128" priority="61" operator="equal">
      <formula>"M"</formula>
    </cfRule>
    <cfRule type="cellIs" dxfId="127" priority="62" operator="equal">
      <formula>"RTT"</formula>
    </cfRule>
    <cfRule type="cellIs" dxfId="126" priority="63" operator="equal">
      <formula>"C"</formula>
    </cfRule>
  </conditionalFormatting>
  <conditionalFormatting sqref="C40:AG40">
    <cfRule type="expression" dxfId="125" priority="64">
      <formula>OR(C$11=1,C$11=7)</formula>
    </cfRule>
  </conditionalFormatting>
  <conditionalFormatting sqref="C16:AG16">
    <cfRule type="expression" dxfId="124" priority="124">
      <formula>OR(C$11=1,C$11=7)</formula>
    </cfRule>
  </conditionalFormatting>
  <conditionalFormatting sqref="C16:AG16">
    <cfRule type="cellIs" dxfId="123" priority="120" operator="equal">
      <formula>"C"</formula>
    </cfRule>
    <cfRule type="cellIs" dxfId="122" priority="121" operator="equal">
      <formula>"M"</formula>
    </cfRule>
    <cfRule type="cellIs" dxfId="121" priority="122" operator="equal">
      <formula>"RTT"</formula>
    </cfRule>
    <cfRule type="cellIs" dxfId="120" priority="123" operator="equal">
      <formula>"C"</formula>
    </cfRule>
  </conditionalFormatting>
  <conditionalFormatting sqref="C18:AG18">
    <cfRule type="expression" dxfId="119" priority="119">
      <formula>OR(C$11=1,C$11=7)</formula>
    </cfRule>
  </conditionalFormatting>
  <conditionalFormatting sqref="C18:AG18">
    <cfRule type="cellIs" dxfId="118" priority="115" operator="equal">
      <formula>"C"</formula>
    </cfRule>
    <cfRule type="cellIs" dxfId="117" priority="116" operator="equal">
      <formula>"M"</formula>
    </cfRule>
    <cfRule type="cellIs" dxfId="116" priority="117" operator="equal">
      <formula>"RTT"</formula>
    </cfRule>
    <cfRule type="cellIs" dxfId="115" priority="118" operator="equal">
      <formula>"C"</formula>
    </cfRule>
  </conditionalFormatting>
  <conditionalFormatting sqref="C20:AG20">
    <cfRule type="expression" dxfId="114" priority="114">
      <formula>OR(C$11=1,C$11=7)</formula>
    </cfRule>
  </conditionalFormatting>
  <conditionalFormatting sqref="C20:AG20">
    <cfRule type="cellIs" dxfId="113" priority="110" operator="equal">
      <formula>"C"</formula>
    </cfRule>
    <cfRule type="cellIs" dxfId="112" priority="111" operator="equal">
      <formula>"M"</formula>
    </cfRule>
    <cfRule type="cellIs" dxfId="111" priority="112" operator="equal">
      <formula>"RTT"</formula>
    </cfRule>
    <cfRule type="cellIs" dxfId="110" priority="113" operator="equal">
      <formula>"C"</formula>
    </cfRule>
  </conditionalFormatting>
  <conditionalFormatting sqref="C22:AG22">
    <cfRule type="expression" dxfId="109" priority="109">
      <formula>OR(C$11=1,C$11=7)</formula>
    </cfRule>
  </conditionalFormatting>
  <conditionalFormatting sqref="C22:AG22">
    <cfRule type="cellIs" dxfId="108" priority="105" operator="equal">
      <formula>"C"</formula>
    </cfRule>
    <cfRule type="cellIs" dxfId="107" priority="106" operator="equal">
      <formula>"M"</formula>
    </cfRule>
    <cfRule type="cellIs" dxfId="106" priority="107" operator="equal">
      <formula>"RTT"</formula>
    </cfRule>
    <cfRule type="cellIs" dxfId="105" priority="108" operator="equal">
      <formula>"C"</formula>
    </cfRule>
  </conditionalFormatting>
  <conditionalFormatting sqref="C24:AG24">
    <cfRule type="expression" dxfId="104" priority="104">
      <formula>OR(C$11=1,C$11=7)</formula>
    </cfRule>
  </conditionalFormatting>
  <conditionalFormatting sqref="C24:AG24">
    <cfRule type="cellIs" dxfId="103" priority="100" operator="equal">
      <formula>"C"</formula>
    </cfRule>
    <cfRule type="cellIs" dxfId="102" priority="101" operator="equal">
      <formula>"M"</formula>
    </cfRule>
    <cfRule type="cellIs" dxfId="101" priority="102" operator="equal">
      <formula>"RTT"</formula>
    </cfRule>
    <cfRule type="cellIs" dxfId="100" priority="103" operator="equal">
      <formula>"C"</formula>
    </cfRule>
  </conditionalFormatting>
  <conditionalFormatting sqref="C26:AG26">
    <cfRule type="expression" dxfId="99" priority="99">
      <formula>OR(C$11=1,C$11=7)</formula>
    </cfRule>
  </conditionalFormatting>
  <conditionalFormatting sqref="C26:AG26">
    <cfRule type="cellIs" dxfId="98" priority="95" operator="equal">
      <formula>"C"</formula>
    </cfRule>
    <cfRule type="cellIs" dxfId="97" priority="96" operator="equal">
      <formula>"M"</formula>
    </cfRule>
    <cfRule type="cellIs" dxfId="96" priority="97" operator="equal">
      <formula>"RTT"</formula>
    </cfRule>
    <cfRule type="cellIs" dxfId="95" priority="98" operator="equal">
      <formula>"C"</formula>
    </cfRule>
  </conditionalFormatting>
  <conditionalFormatting sqref="C28:AG28">
    <cfRule type="expression" dxfId="94" priority="94">
      <formula>OR(C$11=1,C$11=7)</formula>
    </cfRule>
  </conditionalFormatting>
  <conditionalFormatting sqref="C28:AG28">
    <cfRule type="cellIs" dxfId="93" priority="90" operator="equal">
      <formula>"C"</formula>
    </cfRule>
    <cfRule type="cellIs" dxfId="92" priority="91" operator="equal">
      <formula>"M"</formula>
    </cfRule>
    <cfRule type="cellIs" dxfId="91" priority="92" operator="equal">
      <formula>"RTT"</formula>
    </cfRule>
    <cfRule type="cellIs" dxfId="90" priority="93" operator="equal">
      <formula>"C"</formula>
    </cfRule>
  </conditionalFormatting>
  <conditionalFormatting sqref="C30:AG30">
    <cfRule type="expression" dxfId="89" priority="89">
      <formula>OR(C$11=1,C$11=7)</formula>
    </cfRule>
  </conditionalFormatting>
  <conditionalFormatting sqref="C30:AG30">
    <cfRule type="cellIs" dxfId="88" priority="85" operator="equal">
      <formula>"C"</formula>
    </cfRule>
    <cfRule type="cellIs" dxfId="87" priority="86" operator="equal">
      <formula>"M"</formula>
    </cfRule>
    <cfRule type="cellIs" dxfId="86" priority="87" operator="equal">
      <formula>"RTT"</formula>
    </cfRule>
    <cfRule type="cellIs" dxfId="85" priority="88" operator="equal">
      <formula>"C"</formula>
    </cfRule>
  </conditionalFormatting>
  <conditionalFormatting sqref="C32:AG32">
    <cfRule type="expression" dxfId="84" priority="84">
      <formula>OR(C$11=1,C$11=7)</formula>
    </cfRule>
  </conditionalFormatting>
  <conditionalFormatting sqref="C32:AG32">
    <cfRule type="cellIs" dxfId="83" priority="80" operator="equal">
      <formula>"C"</formula>
    </cfRule>
    <cfRule type="cellIs" dxfId="82" priority="81" operator="equal">
      <formula>"M"</formula>
    </cfRule>
    <cfRule type="cellIs" dxfId="81" priority="82" operator="equal">
      <formula>"RTT"</formula>
    </cfRule>
    <cfRule type="cellIs" dxfId="80" priority="83" operator="equal">
      <formula>"C"</formula>
    </cfRule>
  </conditionalFormatting>
  <conditionalFormatting sqref="C34:AG34">
    <cfRule type="expression" dxfId="79" priority="79">
      <formula>OR(C$11=1,C$11=7)</formula>
    </cfRule>
  </conditionalFormatting>
  <conditionalFormatting sqref="C34:AG34">
    <cfRule type="cellIs" dxfId="78" priority="75" operator="equal">
      <formula>"C"</formula>
    </cfRule>
    <cfRule type="cellIs" dxfId="77" priority="76" operator="equal">
      <formula>"M"</formula>
    </cfRule>
    <cfRule type="cellIs" dxfId="76" priority="77" operator="equal">
      <formula>"RTT"</formula>
    </cfRule>
    <cfRule type="cellIs" dxfId="75" priority="78" operator="equal">
      <formula>"C"</formula>
    </cfRule>
  </conditionalFormatting>
  <conditionalFormatting sqref="C36:AG36">
    <cfRule type="expression" dxfId="74" priority="74">
      <formula>OR(C$11=1,C$11=7)</formula>
    </cfRule>
  </conditionalFormatting>
  <conditionalFormatting sqref="C36:AG36">
    <cfRule type="cellIs" dxfId="73" priority="70" operator="equal">
      <formula>"C"</formula>
    </cfRule>
    <cfRule type="cellIs" dxfId="72" priority="71" operator="equal">
      <formula>"M"</formula>
    </cfRule>
    <cfRule type="cellIs" dxfId="71" priority="72" operator="equal">
      <formula>"RTT"</formula>
    </cfRule>
    <cfRule type="cellIs" dxfId="70" priority="73" operator="equal">
      <formula>"C"</formula>
    </cfRule>
  </conditionalFormatting>
  <conditionalFormatting sqref="C38:AG38">
    <cfRule type="expression" dxfId="69" priority="69">
      <formula>OR(C$11=1,C$11=7)</formula>
    </cfRule>
  </conditionalFormatting>
  <conditionalFormatting sqref="C38:AG38">
    <cfRule type="cellIs" dxfId="68" priority="65" operator="equal">
      <formula>"C"</formula>
    </cfRule>
    <cfRule type="cellIs" dxfId="67" priority="66" operator="equal">
      <formula>"M"</formula>
    </cfRule>
    <cfRule type="cellIs" dxfId="66" priority="67" operator="equal">
      <formula>"RTT"</formula>
    </cfRule>
    <cfRule type="cellIs" dxfId="65" priority="68" operator="equal">
      <formula>"C"</formula>
    </cfRule>
  </conditionalFormatting>
  <conditionalFormatting sqref="C7">
    <cfRule type="cellIs" dxfId="64" priority="35" operator="equal">
      <formula>"C"</formula>
    </cfRule>
    <cfRule type="cellIs" dxfId="63" priority="36" operator="equal">
      <formula>"M"</formula>
    </cfRule>
    <cfRule type="cellIs" dxfId="62" priority="37" operator="equal">
      <formula>"RTT"</formula>
    </cfRule>
    <cfRule type="cellIs" dxfId="61" priority="38" operator="equal">
      <formula>"C"</formula>
    </cfRule>
  </conditionalFormatting>
  <conditionalFormatting sqref="C7">
    <cfRule type="expression" dxfId="60" priority="39">
      <formula>OR(#REF!=1,#REF!=7)</formula>
    </cfRule>
  </conditionalFormatting>
  <conditionalFormatting sqref="AN33">
    <cfRule type="cellIs" dxfId="59" priority="25" operator="equal">
      <formula>"C"</formula>
    </cfRule>
    <cfRule type="cellIs" dxfId="58" priority="26" operator="equal">
      <formula>"M"</formula>
    </cfRule>
    <cfRule type="cellIs" dxfId="57" priority="27" operator="equal">
      <formula>"RTT"</formula>
    </cfRule>
    <cfRule type="cellIs" dxfId="56" priority="28" operator="equal">
      <formula>"C"</formula>
    </cfRule>
  </conditionalFormatting>
  <conditionalFormatting sqref="AN33">
    <cfRule type="expression" dxfId="55" priority="29">
      <formula>OR(#REF!=1,#REF!=7)</formula>
    </cfRule>
  </conditionalFormatting>
  <conditionalFormatting sqref="AN25">
    <cfRule type="cellIs" dxfId="54" priority="30" operator="equal">
      <formula>"C"</formula>
    </cfRule>
    <cfRule type="cellIs" dxfId="53" priority="31" operator="equal">
      <formula>"M"</formula>
    </cfRule>
    <cfRule type="cellIs" dxfId="52" priority="32" operator="equal">
      <formula>"RTT"</formula>
    </cfRule>
    <cfRule type="cellIs" dxfId="51" priority="33" operator="equal">
      <formula>"C"</formula>
    </cfRule>
  </conditionalFormatting>
  <conditionalFormatting sqref="AN25">
    <cfRule type="expression" dxfId="50" priority="34">
      <formula>OR(#REF!=1,#REF!=7)</formula>
    </cfRule>
  </conditionalFormatting>
  <conditionalFormatting sqref="AT25">
    <cfRule type="cellIs" dxfId="49" priority="20" operator="equal">
      <formula>"C"</formula>
    </cfRule>
    <cfRule type="cellIs" dxfId="48" priority="21" operator="equal">
      <formula>"M"</formula>
    </cfRule>
    <cfRule type="cellIs" dxfId="47" priority="22" operator="equal">
      <formula>"RTT"</formula>
    </cfRule>
    <cfRule type="cellIs" dxfId="46" priority="23" operator="equal">
      <formula>"C"</formula>
    </cfRule>
  </conditionalFormatting>
  <conditionalFormatting sqref="AT25">
    <cfRule type="expression" dxfId="45" priority="24">
      <formula>OR(#REF!=1,#REF!=7)</formula>
    </cfRule>
  </conditionalFormatting>
  <conditionalFormatting sqref="C12:AG12 C14:AG14 C16:AG16 C18:AG18 C20:AG20 C22:AG22 C24:AG24 C26:AG26 C28:AG28 C30:AG30 C32:AG32 C34:AG34 C36:AG36 C38:AG38 C40:AG40">
    <cfRule type="cellIs" dxfId="44" priority="16" operator="equal">
      <formula>"D ? !"</formula>
    </cfRule>
    <cfRule type="cellIs" dxfId="43" priority="17" operator="equal">
      <formula>$E$7</formula>
    </cfRule>
    <cfRule type="cellIs" dxfId="42" priority="18" operator="equal">
      <formula>$E$6</formula>
    </cfRule>
    <cfRule type="cellIs" dxfId="41" priority="125" operator="equal">
      <formula>$E$5</formula>
    </cfRule>
    <cfRule type="cellIs" dxfId="40" priority="126" operator="equal">
      <formula>"M"</formula>
    </cfRule>
    <cfRule type="cellIs" dxfId="39" priority="127" operator="equal">
      <formula>"RTT"</formula>
    </cfRule>
    <cfRule type="expression" dxfId="38" priority="129">
      <formula>OR(C$11=1,C$11=7)</formula>
    </cfRule>
    <cfRule type="cellIs" dxfId="37" priority="210" operator="equal">
      <formula>"C"</formula>
    </cfRule>
    <cfRule type="cellIs" dxfId="36" priority="211" operator="equal">
      <formula>"M"</formula>
    </cfRule>
    <cfRule type="cellIs" dxfId="35" priority="212" operator="equal">
      <formula>"RTT"</formula>
    </cfRule>
    <cfRule type="cellIs" dxfId="34" priority="213" operator="equal">
      <formula>"Cp"</formula>
    </cfRule>
  </conditionalFormatting>
  <conditionalFormatting sqref="CA21:CA34">
    <cfRule type="expression" dxfId="33" priority="2" stopIfTrue="1">
      <formula>WEEKDAY(CA21,2)=6</formula>
    </cfRule>
    <cfRule type="expression" dxfId="32" priority="3" stopIfTrue="1">
      <formula>WEEKDAY(CA21,2)=7</formula>
    </cfRule>
  </conditionalFormatting>
  <conditionalFormatting sqref="CA5:CA18">
    <cfRule type="expression" dxfId="31" priority="4" stopIfTrue="1">
      <formula>WEEKDAY(CA5,2)=6</formula>
    </cfRule>
    <cfRule type="expression" dxfId="30" priority="5" stopIfTrue="1">
      <formula>WEEKDAY(CA5,2)=7</formula>
    </cfRule>
  </conditionalFormatting>
  <conditionalFormatting sqref="C10:AG11">
    <cfRule type="expression" dxfId="29" priority="1">
      <formula>C$8=VLOOKUP(C$8,$BZ$5:$CA$18,2,0)</formula>
    </cfRule>
  </conditionalFormatting>
  <dataValidations count="1">
    <dataValidation type="list" allowBlank="1" showInputMessage="1" showErrorMessage="1" sqref="AN34:AN119 M48:N48" xr:uid="{E9088270-B357-43B4-B1F1-148E375124D7}">
      <formula1>$I$3:$I$3</formula1>
    </dataValidation>
  </dataValidations>
  <hyperlinks>
    <hyperlink ref="U5" r:id="rId1" xr:uid="{149552D2-6EEE-4062-8ED3-E274522ADECC}"/>
  </hyperlinks>
  <pageMargins left="0.7" right="0.7" top="0.75" bottom="0.75" header="0.3" footer="0.3"/>
  <pageSetup paperSize="9" orientation="portrait" r:id="rId2"/>
  <drawing r:id="rId3"/>
  <legacyDrawing r:id="rId4"/>
  <tableParts count="2">
    <tablePart r:id="rId5"/>
    <tablePart r:id="rId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81950-9C50-40B4-8941-70232A7111DB}">
  <sheetPr codeName="Feuil9">
    <pageSetUpPr fitToPage="1"/>
  </sheetPr>
  <dimension ref="A1:CN271"/>
  <sheetViews>
    <sheetView showZeros="0" zoomScale="75" zoomScaleNormal="75" zoomScaleSheetLayoutView="75" workbookViewId="0">
      <selection activeCell="AL26" sqref="AL26"/>
    </sheetView>
  </sheetViews>
  <sheetFormatPr baseColWidth="10" defaultColWidth="2.375" defaultRowHeight="15.75" x14ac:dyDescent="0.25"/>
  <cols>
    <col min="1" max="1" width="2.375" style="497" customWidth="1"/>
    <col min="2" max="2" width="21" style="497" customWidth="1"/>
    <col min="3" max="35" width="6.375" style="497" customWidth="1"/>
    <col min="36" max="36" width="10" style="497" customWidth="1"/>
    <col min="37" max="37" width="2.375" style="497" customWidth="1"/>
    <col min="38" max="38" width="10" style="497" customWidth="1"/>
    <col min="39" max="39" width="23.625" style="497" customWidth="1"/>
    <col min="40" max="54" width="10" style="497" customWidth="1"/>
    <col min="55" max="55" width="13.625" style="497" customWidth="1"/>
    <col min="56" max="56" width="33.75" style="497" customWidth="1"/>
    <col min="57" max="57" width="24" style="497" customWidth="1"/>
    <col min="58" max="58" width="22" style="497" customWidth="1"/>
    <col min="59" max="59" width="19" style="497" customWidth="1"/>
    <col min="60" max="60" width="20.625" style="497" customWidth="1"/>
    <col min="61" max="61" width="10" style="497" customWidth="1"/>
    <col min="62" max="64" width="9.375" style="58" customWidth="1"/>
    <col min="65" max="65" width="3.625" style="58" customWidth="1"/>
    <col min="66" max="72" width="9.375" style="58" customWidth="1"/>
    <col min="73" max="73" width="32.25" style="58" customWidth="1"/>
    <col min="74" max="75" width="10" style="497" customWidth="1"/>
    <col min="76" max="76" width="3" style="289" customWidth="1"/>
    <col min="77" max="77" width="8.25" style="289" customWidth="1"/>
    <col min="78" max="78" width="7.625" style="289" customWidth="1"/>
    <col min="79" max="79" width="12.125" style="289" customWidth="1"/>
    <col min="80" max="80" width="11.875" style="289" customWidth="1"/>
    <col min="81" max="85" width="7.625" style="289" customWidth="1"/>
    <col min="86" max="86" width="8.75" style="289" customWidth="1"/>
    <col min="87" max="87" width="7.875" style="289" customWidth="1"/>
    <col min="88" max="88" width="4" style="289" customWidth="1"/>
    <col min="89" max="89" width="12.5" style="289" customWidth="1"/>
    <col min="90" max="90" width="13.375" style="289" customWidth="1"/>
    <col min="91" max="91" width="3.625" style="289" customWidth="1"/>
    <col min="92" max="227" width="10" style="497" customWidth="1"/>
    <col min="228" max="233" width="2.375" style="497"/>
    <col min="234" max="234" width="21" style="497" customWidth="1"/>
    <col min="235" max="267" width="6.375" style="497" customWidth="1"/>
    <col min="268" max="268" width="10" style="497" customWidth="1"/>
    <col min="269" max="269" width="2.375" style="497"/>
    <col min="270" max="270" width="10" style="497" customWidth="1"/>
    <col min="271" max="271" width="23.625" style="497" customWidth="1"/>
    <col min="272" max="285" width="10" style="497" customWidth="1"/>
    <col min="286" max="286" width="13.625" style="497" customWidth="1"/>
    <col min="287" max="287" width="33.75" style="497" customWidth="1"/>
    <col min="288" max="288" width="24" style="497" customWidth="1"/>
    <col min="289" max="289" width="22" style="497" customWidth="1"/>
    <col min="290" max="290" width="19" style="497" customWidth="1"/>
    <col min="291" max="291" width="20.625" style="497" customWidth="1"/>
    <col min="292" max="297" width="10" style="497" customWidth="1"/>
    <col min="298" max="298" width="21" style="497" customWidth="1"/>
    <col min="299" max="309" width="6.375" style="497" customWidth="1"/>
    <col min="310" max="310" width="7" style="497" customWidth="1"/>
    <col min="311" max="316" width="2.375" style="497"/>
    <col min="317" max="317" width="13.625" style="497" customWidth="1"/>
    <col min="318" max="318" width="6.625" style="497" customWidth="1"/>
    <col min="319" max="319" width="32.25" style="497" customWidth="1"/>
    <col min="320" max="320" width="2.375" style="497"/>
    <col min="321" max="483" width="10" style="497" customWidth="1"/>
    <col min="484" max="489" width="2.375" style="497"/>
    <col min="490" max="490" width="21" style="497" customWidth="1"/>
    <col min="491" max="523" width="6.375" style="497" customWidth="1"/>
    <col min="524" max="524" width="10" style="497" customWidth="1"/>
    <col min="525" max="525" width="2.375" style="497"/>
    <col min="526" max="526" width="10" style="497" customWidth="1"/>
    <col min="527" max="527" width="23.625" style="497" customWidth="1"/>
    <col min="528" max="541" width="10" style="497" customWidth="1"/>
    <col min="542" max="542" width="13.625" style="497" customWidth="1"/>
    <col min="543" max="543" width="33.75" style="497" customWidth="1"/>
    <col min="544" max="544" width="24" style="497" customWidth="1"/>
    <col min="545" max="545" width="22" style="497" customWidth="1"/>
    <col min="546" max="546" width="19" style="497" customWidth="1"/>
    <col min="547" max="547" width="20.625" style="497" customWidth="1"/>
    <col min="548" max="553" width="10" style="497" customWidth="1"/>
    <col min="554" max="554" width="21" style="497" customWidth="1"/>
    <col min="555" max="565" width="6.375" style="497" customWidth="1"/>
    <col min="566" max="566" width="7" style="497" customWidth="1"/>
    <col min="567" max="572" width="2.375" style="497"/>
    <col min="573" max="573" width="13.625" style="497" customWidth="1"/>
    <col min="574" max="574" width="6.625" style="497" customWidth="1"/>
    <col min="575" max="575" width="32.25" style="497" customWidth="1"/>
    <col min="576" max="576" width="2.375" style="497"/>
    <col min="577" max="739" width="10" style="497" customWidth="1"/>
    <col min="740" max="745" width="2.375" style="497"/>
    <col min="746" max="746" width="21" style="497" customWidth="1"/>
    <col min="747" max="779" width="6.375" style="497" customWidth="1"/>
    <col min="780" max="780" width="10" style="497" customWidth="1"/>
    <col min="781" max="781" width="2.375" style="497"/>
    <col min="782" max="782" width="10" style="497" customWidth="1"/>
    <col min="783" max="783" width="23.625" style="497" customWidth="1"/>
    <col min="784" max="797" width="10" style="497" customWidth="1"/>
    <col min="798" max="798" width="13.625" style="497" customWidth="1"/>
    <col min="799" max="799" width="33.75" style="497" customWidth="1"/>
    <col min="800" max="800" width="24" style="497" customWidth="1"/>
    <col min="801" max="801" width="22" style="497" customWidth="1"/>
    <col min="802" max="802" width="19" style="497" customWidth="1"/>
    <col min="803" max="803" width="20.625" style="497" customWidth="1"/>
    <col min="804" max="809" width="10" style="497" customWidth="1"/>
    <col min="810" max="810" width="21" style="497" customWidth="1"/>
    <col min="811" max="821" width="6.375" style="497" customWidth="1"/>
    <col min="822" max="822" width="7" style="497" customWidth="1"/>
    <col min="823" max="828" width="2.375" style="497"/>
    <col min="829" max="829" width="13.625" style="497" customWidth="1"/>
    <col min="830" max="830" width="6.625" style="497" customWidth="1"/>
    <col min="831" max="831" width="32.25" style="497" customWidth="1"/>
    <col min="832" max="832" width="2.375" style="497"/>
    <col min="833" max="995" width="10" style="497" customWidth="1"/>
    <col min="996" max="1001" width="2.375" style="497"/>
    <col min="1002" max="1002" width="21" style="497" customWidth="1"/>
    <col min="1003" max="1035" width="6.375" style="497" customWidth="1"/>
    <col min="1036" max="1036" width="10" style="497" customWidth="1"/>
    <col min="1037" max="1037" width="2.375" style="497"/>
    <col min="1038" max="1038" width="10" style="497" customWidth="1"/>
    <col min="1039" max="1039" width="23.625" style="497" customWidth="1"/>
    <col min="1040" max="1053" width="10" style="497" customWidth="1"/>
    <col min="1054" max="1054" width="13.625" style="497" customWidth="1"/>
    <col min="1055" max="1055" width="33.75" style="497" customWidth="1"/>
    <col min="1056" max="1056" width="24" style="497" customWidth="1"/>
    <col min="1057" max="1057" width="22" style="497" customWidth="1"/>
    <col min="1058" max="1058" width="19" style="497" customWidth="1"/>
    <col min="1059" max="1059" width="20.625" style="497" customWidth="1"/>
    <col min="1060" max="1065" width="10" style="497" customWidth="1"/>
    <col min="1066" max="1066" width="21" style="497" customWidth="1"/>
    <col min="1067" max="1077" width="6.375" style="497" customWidth="1"/>
    <col min="1078" max="1078" width="7" style="497" customWidth="1"/>
    <col min="1079" max="1084" width="2.375" style="497"/>
    <col min="1085" max="1085" width="13.625" style="497" customWidth="1"/>
    <col min="1086" max="1086" width="6.625" style="497" customWidth="1"/>
    <col min="1087" max="1087" width="32.25" style="497" customWidth="1"/>
    <col min="1088" max="1088" width="2.375" style="497"/>
    <col min="1089" max="1251" width="10" style="497" customWidth="1"/>
    <col min="1252" max="1257" width="2.375" style="497"/>
    <col min="1258" max="1258" width="21" style="497" customWidth="1"/>
    <col min="1259" max="1291" width="6.375" style="497" customWidth="1"/>
    <col min="1292" max="1292" width="10" style="497" customWidth="1"/>
    <col min="1293" max="1293" width="2.375" style="497"/>
    <col min="1294" max="1294" width="10" style="497" customWidth="1"/>
    <col min="1295" max="1295" width="23.625" style="497" customWidth="1"/>
    <col min="1296" max="1309" width="10" style="497" customWidth="1"/>
    <col min="1310" max="1310" width="13.625" style="497" customWidth="1"/>
    <col min="1311" max="1311" width="33.75" style="497" customWidth="1"/>
    <col min="1312" max="1312" width="24" style="497" customWidth="1"/>
    <col min="1313" max="1313" width="22" style="497" customWidth="1"/>
    <col min="1314" max="1314" width="19" style="497" customWidth="1"/>
    <col min="1315" max="1315" width="20.625" style="497" customWidth="1"/>
    <col min="1316" max="1321" width="10" style="497" customWidth="1"/>
    <col min="1322" max="1322" width="21" style="497" customWidth="1"/>
    <col min="1323" max="1333" width="6.375" style="497" customWidth="1"/>
    <col min="1334" max="1334" width="7" style="497" customWidth="1"/>
    <col min="1335" max="1340" width="2.375" style="497"/>
    <col min="1341" max="1341" width="13.625" style="497" customWidth="1"/>
    <col min="1342" max="1342" width="6.625" style="497" customWidth="1"/>
    <col min="1343" max="1343" width="32.25" style="497" customWidth="1"/>
    <col min="1344" max="1344" width="2.375" style="497"/>
    <col min="1345" max="1507" width="10" style="497" customWidth="1"/>
    <col min="1508" max="1513" width="2.375" style="497"/>
    <col min="1514" max="1514" width="21" style="497" customWidth="1"/>
    <col min="1515" max="1547" width="6.375" style="497" customWidth="1"/>
    <col min="1548" max="1548" width="10" style="497" customWidth="1"/>
    <col min="1549" max="1549" width="2.375" style="497"/>
    <col min="1550" max="1550" width="10" style="497" customWidth="1"/>
    <col min="1551" max="1551" width="23.625" style="497" customWidth="1"/>
    <col min="1552" max="1565" width="10" style="497" customWidth="1"/>
    <col min="1566" max="1566" width="13.625" style="497" customWidth="1"/>
    <col min="1567" max="1567" width="33.75" style="497" customWidth="1"/>
    <col min="1568" max="1568" width="24" style="497" customWidth="1"/>
    <col min="1569" max="1569" width="22" style="497" customWidth="1"/>
    <col min="1570" max="1570" width="19" style="497" customWidth="1"/>
    <col min="1571" max="1571" width="20.625" style="497" customWidth="1"/>
    <col min="1572" max="1577" width="10" style="497" customWidth="1"/>
    <col min="1578" max="1578" width="21" style="497" customWidth="1"/>
    <col min="1579" max="1589" width="6.375" style="497" customWidth="1"/>
    <col min="1590" max="1590" width="7" style="497" customWidth="1"/>
    <col min="1591" max="1596" width="2.375" style="497"/>
    <col min="1597" max="1597" width="13.625" style="497" customWidth="1"/>
    <col min="1598" max="1598" width="6.625" style="497" customWidth="1"/>
    <col min="1599" max="1599" width="32.25" style="497" customWidth="1"/>
    <col min="1600" max="1600" width="2.375" style="497"/>
    <col min="1601" max="1763" width="10" style="497" customWidth="1"/>
    <col min="1764" max="1769" width="2.375" style="497"/>
    <col min="1770" max="1770" width="21" style="497" customWidth="1"/>
    <col min="1771" max="1803" width="6.375" style="497" customWidth="1"/>
    <col min="1804" max="1804" width="10" style="497" customWidth="1"/>
    <col min="1805" max="1805" width="2.375" style="497"/>
    <col min="1806" max="1806" width="10" style="497" customWidth="1"/>
    <col min="1807" max="1807" width="23.625" style="497" customWidth="1"/>
    <col min="1808" max="1821" width="10" style="497" customWidth="1"/>
    <col min="1822" max="1822" width="13.625" style="497" customWidth="1"/>
    <col min="1823" max="1823" width="33.75" style="497" customWidth="1"/>
    <col min="1824" max="1824" width="24" style="497" customWidth="1"/>
    <col min="1825" max="1825" width="22" style="497" customWidth="1"/>
    <col min="1826" max="1826" width="19" style="497" customWidth="1"/>
    <col min="1827" max="1827" width="20.625" style="497" customWidth="1"/>
    <col min="1828" max="1833" width="10" style="497" customWidth="1"/>
    <col min="1834" max="1834" width="21" style="497" customWidth="1"/>
    <col min="1835" max="1845" width="6.375" style="497" customWidth="1"/>
    <col min="1846" max="1846" width="7" style="497" customWidth="1"/>
    <col min="1847" max="1852" width="2.375" style="497"/>
    <col min="1853" max="1853" width="13.625" style="497" customWidth="1"/>
    <col min="1854" max="1854" width="6.625" style="497" customWidth="1"/>
    <col min="1855" max="1855" width="32.25" style="497" customWidth="1"/>
    <col min="1856" max="1856" width="2.375" style="497"/>
    <col min="1857" max="2019" width="10" style="497" customWidth="1"/>
    <col min="2020" max="2025" width="2.375" style="497"/>
    <col min="2026" max="2026" width="21" style="497" customWidth="1"/>
    <col min="2027" max="2059" width="6.375" style="497" customWidth="1"/>
    <col min="2060" max="2060" width="10" style="497" customWidth="1"/>
    <col min="2061" max="2061" width="2.375" style="497"/>
    <col min="2062" max="2062" width="10" style="497" customWidth="1"/>
    <col min="2063" max="2063" width="23.625" style="497" customWidth="1"/>
    <col min="2064" max="2077" width="10" style="497" customWidth="1"/>
    <col min="2078" max="2078" width="13.625" style="497" customWidth="1"/>
    <col min="2079" max="2079" width="33.75" style="497" customWidth="1"/>
    <col min="2080" max="2080" width="24" style="497" customWidth="1"/>
    <col min="2081" max="2081" width="22" style="497" customWidth="1"/>
    <col min="2082" max="2082" width="19" style="497" customWidth="1"/>
    <col min="2083" max="2083" width="20.625" style="497" customWidth="1"/>
    <col min="2084" max="2089" width="10" style="497" customWidth="1"/>
    <col min="2090" max="2090" width="21" style="497" customWidth="1"/>
    <col min="2091" max="2101" width="6.375" style="497" customWidth="1"/>
    <col min="2102" max="2102" width="7" style="497" customWidth="1"/>
    <col min="2103" max="2108" width="2.375" style="497"/>
    <col min="2109" max="2109" width="13.625" style="497" customWidth="1"/>
    <col min="2110" max="2110" width="6.625" style="497" customWidth="1"/>
    <col min="2111" max="2111" width="32.25" style="497" customWidth="1"/>
    <col min="2112" max="2112" width="2.375" style="497"/>
    <col min="2113" max="2275" width="10" style="497" customWidth="1"/>
    <col min="2276" max="2281" width="2.375" style="497"/>
    <col min="2282" max="2282" width="21" style="497" customWidth="1"/>
    <col min="2283" max="2315" width="6.375" style="497" customWidth="1"/>
    <col min="2316" max="2316" width="10" style="497" customWidth="1"/>
    <col min="2317" max="2317" width="2.375" style="497"/>
    <col min="2318" max="2318" width="10" style="497" customWidth="1"/>
    <col min="2319" max="2319" width="23.625" style="497" customWidth="1"/>
    <col min="2320" max="2333" width="10" style="497" customWidth="1"/>
    <col min="2334" max="2334" width="13.625" style="497" customWidth="1"/>
    <col min="2335" max="2335" width="33.75" style="497" customWidth="1"/>
    <col min="2336" max="2336" width="24" style="497" customWidth="1"/>
    <col min="2337" max="2337" width="22" style="497" customWidth="1"/>
    <col min="2338" max="2338" width="19" style="497" customWidth="1"/>
    <col min="2339" max="2339" width="20.625" style="497" customWidth="1"/>
    <col min="2340" max="2345" width="10" style="497" customWidth="1"/>
    <col min="2346" max="2346" width="21" style="497" customWidth="1"/>
    <col min="2347" max="2357" width="6.375" style="497" customWidth="1"/>
    <col min="2358" max="2358" width="7" style="497" customWidth="1"/>
    <col min="2359" max="2364" width="2.375" style="497"/>
    <col min="2365" max="2365" width="13.625" style="497" customWidth="1"/>
    <col min="2366" max="2366" width="6.625" style="497" customWidth="1"/>
    <col min="2367" max="2367" width="32.25" style="497" customWidth="1"/>
    <col min="2368" max="2368" width="2.375" style="497"/>
    <col min="2369" max="2531" width="10" style="497" customWidth="1"/>
    <col min="2532" max="2537" width="2.375" style="497"/>
    <col min="2538" max="2538" width="21" style="497" customWidth="1"/>
    <col min="2539" max="2571" width="6.375" style="497" customWidth="1"/>
    <col min="2572" max="2572" width="10" style="497" customWidth="1"/>
    <col min="2573" max="2573" width="2.375" style="497"/>
    <col min="2574" max="2574" width="10" style="497" customWidth="1"/>
    <col min="2575" max="2575" width="23.625" style="497" customWidth="1"/>
    <col min="2576" max="2589" width="10" style="497" customWidth="1"/>
    <col min="2590" max="2590" width="13.625" style="497" customWidth="1"/>
    <col min="2591" max="2591" width="33.75" style="497" customWidth="1"/>
    <col min="2592" max="2592" width="24" style="497" customWidth="1"/>
    <col min="2593" max="2593" width="22" style="497" customWidth="1"/>
    <col min="2594" max="2594" width="19" style="497" customWidth="1"/>
    <col min="2595" max="2595" width="20.625" style="497" customWidth="1"/>
    <col min="2596" max="2601" width="10" style="497" customWidth="1"/>
    <col min="2602" max="2602" width="21" style="497" customWidth="1"/>
    <col min="2603" max="2613" width="6.375" style="497" customWidth="1"/>
    <col min="2614" max="2614" width="7" style="497" customWidth="1"/>
    <col min="2615" max="2620" width="2.375" style="497"/>
    <col min="2621" max="2621" width="13.625" style="497" customWidth="1"/>
    <col min="2622" max="2622" width="6.625" style="497" customWidth="1"/>
    <col min="2623" max="2623" width="32.25" style="497" customWidth="1"/>
    <col min="2624" max="2624" width="2.375" style="497"/>
    <col min="2625" max="2787" width="10" style="497" customWidth="1"/>
    <col min="2788" max="2793" width="2.375" style="497"/>
    <col min="2794" max="2794" width="21" style="497" customWidth="1"/>
    <col min="2795" max="2827" width="6.375" style="497" customWidth="1"/>
    <col min="2828" max="2828" width="10" style="497" customWidth="1"/>
    <col min="2829" max="2829" width="2.375" style="497"/>
    <col min="2830" max="2830" width="10" style="497" customWidth="1"/>
    <col min="2831" max="2831" width="23.625" style="497" customWidth="1"/>
    <col min="2832" max="2845" width="10" style="497" customWidth="1"/>
    <col min="2846" max="2846" width="13.625" style="497" customWidth="1"/>
    <col min="2847" max="2847" width="33.75" style="497" customWidth="1"/>
    <col min="2848" max="2848" width="24" style="497" customWidth="1"/>
    <col min="2849" max="2849" width="22" style="497" customWidth="1"/>
    <col min="2850" max="2850" width="19" style="497" customWidth="1"/>
    <col min="2851" max="2851" width="20.625" style="497" customWidth="1"/>
    <col min="2852" max="2857" width="10" style="497" customWidth="1"/>
    <col min="2858" max="2858" width="21" style="497" customWidth="1"/>
    <col min="2859" max="2869" width="6.375" style="497" customWidth="1"/>
    <col min="2870" max="2870" width="7" style="497" customWidth="1"/>
    <col min="2871" max="2876" width="2.375" style="497"/>
    <col min="2877" max="2877" width="13.625" style="497" customWidth="1"/>
    <col min="2878" max="2878" width="6.625" style="497" customWidth="1"/>
    <col min="2879" max="2879" width="32.25" style="497" customWidth="1"/>
    <col min="2880" max="2880" width="2.375" style="497"/>
    <col min="2881" max="3043" width="10" style="497" customWidth="1"/>
    <col min="3044" max="3049" width="2.375" style="497"/>
    <col min="3050" max="3050" width="21" style="497" customWidth="1"/>
    <col min="3051" max="3083" width="6.375" style="497" customWidth="1"/>
    <col min="3084" max="3084" width="10" style="497" customWidth="1"/>
    <col min="3085" max="3085" width="2.375" style="497"/>
    <col min="3086" max="3086" width="10" style="497" customWidth="1"/>
    <col min="3087" max="3087" width="23.625" style="497" customWidth="1"/>
    <col min="3088" max="3101" width="10" style="497" customWidth="1"/>
    <col min="3102" max="3102" width="13.625" style="497" customWidth="1"/>
    <col min="3103" max="3103" width="33.75" style="497" customWidth="1"/>
    <col min="3104" max="3104" width="24" style="497" customWidth="1"/>
    <col min="3105" max="3105" width="22" style="497" customWidth="1"/>
    <col min="3106" max="3106" width="19" style="497" customWidth="1"/>
    <col min="3107" max="3107" width="20.625" style="497" customWidth="1"/>
    <col min="3108" max="3113" width="10" style="497" customWidth="1"/>
    <col min="3114" max="3114" width="21" style="497" customWidth="1"/>
    <col min="3115" max="3125" width="6.375" style="497" customWidth="1"/>
    <col min="3126" max="3126" width="7" style="497" customWidth="1"/>
    <col min="3127" max="3132" width="2.375" style="497"/>
    <col min="3133" max="3133" width="13.625" style="497" customWidth="1"/>
    <col min="3134" max="3134" width="6.625" style="497" customWidth="1"/>
    <col min="3135" max="3135" width="32.25" style="497" customWidth="1"/>
    <col min="3136" max="3136" width="2.375" style="497"/>
    <col min="3137" max="3299" width="10" style="497" customWidth="1"/>
    <col min="3300" max="3305" width="2.375" style="497"/>
    <col min="3306" max="3306" width="21" style="497" customWidth="1"/>
    <col min="3307" max="3339" width="6.375" style="497" customWidth="1"/>
    <col min="3340" max="3340" width="10" style="497" customWidth="1"/>
    <col min="3341" max="3341" width="2.375" style="497"/>
    <col min="3342" max="3342" width="10" style="497" customWidth="1"/>
    <col min="3343" max="3343" width="23.625" style="497" customWidth="1"/>
    <col min="3344" max="3357" width="10" style="497" customWidth="1"/>
    <col min="3358" max="3358" width="13.625" style="497" customWidth="1"/>
    <col min="3359" max="3359" width="33.75" style="497" customWidth="1"/>
    <col min="3360" max="3360" width="24" style="497" customWidth="1"/>
    <col min="3361" max="3361" width="22" style="497" customWidth="1"/>
    <col min="3362" max="3362" width="19" style="497" customWidth="1"/>
    <col min="3363" max="3363" width="20.625" style="497" customWidth="1"/>
    <col min="3364" max="3369" width="10" style="497" customWidth="1"/>
    <col min="3370" max="3370" width="21" style="497" customWidth="1"/>
    <col min="3371" max="3381" width="6.375" style="497" customWidth="1"/>
    <col min="3382" max="3382" width="7" style="497" customWidth="1"/>
    <col min="3383" max="3388" width="2.375" style="497"/>
    <col min="3389" max="3389" width="13.625" style="497" customWidth="1"/>
    <col min="3390" max="3390" width="6.625" style="497" customWidth="1"/>
    <col min="3391" max="3391" width="32.25" style="497" customWidth="1"/>
    <col min="3392" max="3392" width="2.375" style="497"/>
    <col min="3393" max="3555" width="10" style="497" customWidth="1"/>
    <col min="3556" max="3561" width="2.375" style="497"/>
    <col min="3562" max="3562" width="21" style="497" customWidth="1"/>
    <col min="3563" max="3595" width="6.375" style="497" customWidth="1"/>
    <col min="3596" max="3596" width="10" style="497" customWidth="1"/>
    <col min="3597" max="3597" width="2.375" style="497"/>
    <col min="3598" max="3598" width="10" style="497" customWidth="1"/>
    <col min="3599" max="3599" width="23.625" style="497" customWidth="1"/>
    <col min="3600" max="3613" width="10" style="497" customWidth="1"/>
    <col min="3614" max="3614" width="13.625" style="497" customWidth="1"/>
    <col min="3615" max="3615" width="33.75" style="497" customWidth="1"/>
    <col min="3616" max="3616" width="24" style="497" customWidth="1"/>
    <col min="3617" max="3617" width="22" style="497" customWidth="1"/>
    <col min="3618" max="3618" width="19" style="497" customWidth="1"/>
    <col min="3619" max="3619" width="20.625" style="497" customWidth="1"/>
    <col min="3620" max="3625" width="10" style="497" customWidth="1"/>
    <col min="3626" max="3626" width="21" style="497" customWidth="1"/>
    <col min="3627" max="3637" width="6.375" style="497" customWidth="1"/>
    <col min="3638" max="3638" width="7" style="497" customWidth="1"/>
    <col min="3639" max="3644" width="2.375" style="497"/>
    <col min="3645" max="3645" width="13.625" style="497" customWidth="1"/>
    <col min="3646" max="3646" width="6.625" style="497" customWidth="1"/>
    <col min="3647" max="3647" width="32.25" style="497" customWidth="1"/>
    <col min="3648" max="3648" width="2.375" style="497"/>
    <col min="3649" max="3811" width="10" style="497" customWidth="1"/>
    <col min="3812" max="3817" width="2.375" style="497"/>
    <col min="3818" max="3818" width="21" style="497" customWidth="1"/>
    <col min="3819" max="3851" width="6.375" style="497" customWidth="1"/>
    <col min="3852" max="3852" width="10" style="497" customWidth="1"/>
    <col min="3853" max="3853" width="2.375" style="497"/>
    <col min="3854" max="3854" width="10" style="497" customWidth="1"/>
    <col min="3855" max="3855" width="23.625" style="497" customWidth="1"/>
    <col min="3856" max="3869" width="10" style="497" customWidth="1"/>
    <col min="3870" max="3870" width="13.625" style="497" customWidth="1"/>
    <col min="3871" max="3871" width="33.75" style="497" customWidth="1"/>
    <col min="3872" max="3872" width="24" style="497" customWidth="1"/>
    <col min="3873" max="3873" width="22" style="497" customWidth="1"/>
    <col min="3874" max="3874" width="19" style="497" customWidth="1"/>
    <col min="3875" max="3875" width="20.625" style="497" customWidth="1"/>
    <col min="3876" max="3881" width="10" style="497" customWidth="1"/>
    <col min="3882" max="3882" width="21" style="497" customWidth="1"/>
    <col min="3883" max="3893" width="6.375" style="497" customWidth="1"/>
    <col min="3894" max="3894" width="7" style="497" customWidth="1"/>
    <col min="3895" max="3900" width="2.375" style="497"/>
    <col min="3901" max="3901" width="13.625" style="497" customWidth="1"/>
    <col min="3902" max="3902" width="6.625" style="497" customWidth="1"/>
    <col min="3903" max="3903" width="32.25" style="497" customWidth="1"/>
    <col min="3904" max="3904" width="2.375" style="497"/>
    <col min="3905" max="4067" width="10" style="497" customWidth="1"/>
    <col min="4068" max="4073" width="2.375" style="497"/>
    <col min="4074" max="4074" width="21" style="497" customWidth="1"/>
    <col min="4075" max="4107" width="6.375" style="497" customWidth="1"/>
    <col min="4108" max="4108" width="10" style="497" customWidth="1"/>
    <col min="4109" max="4109" width="2.375" style="497"/>
    <col min="4110" max="4110" width="10" style="497" customWidth="1"/>
    <col min="4111" max="4111" width="23.625" style="497" customWidth="1"/>
    <col min="4112" max="4125" width="10" style="497" customWidth="1"/>
    <col min="4126" max="4126" width="13.625" style="497" customWidth="1"/>
    <col min="4127" max="4127" width="33.75" style="497" customWidth="1"/>
    <col min="4128" max="4128" width="24" style="497" customWidth="1"/>
    <col min="4129" max="4129" width="22" style="497" customWidth="1"/>
    <col min="4130" max="4130" width="19" style="497" customWidth="1"/>
    <col min="4131" max="4131" width="20.625" style="497" customWidth="1"/>
    <col min="4132" max="4137" width="10" style="497" customWidth="1"/>
    <col min="4138" max="4138" width="21" style="497" customWidth="1"/>
    <col min="4139" max="4149" width="6.375" style="497" customWidth="1"/>
    <col min="4150" max="4150" width="7" style="497" customWidth="1"/>
    <col min="4151" max="4156" width="2.375" style="497"/>
    <col min="4157" max="4157" width="13.625" style="497" customWidth="1"/>
    <col min="4158" max="4158" width="6.625" style="497" customWidth="1"/>
    <col min="4159" max="4159" width="32.25" style="497" customWidth="1"/>
    <col min="4160" max="4160" width="2.375" style="497"/>
    <col min="4161" max="4323" width="10" style="497" customWidth="1"/>
    <col min="4324" max="4329" width="2.375" style="497"/>
    <col min="4330" max="4330" width="21" style="497" customWidth="1"/>
    <col min="4331" max="4363" width="6.375" style="497" customWidth="1"/>
    <col min="4364" max="4364" width="10" style="497" customWidth="1"/>
    <col min="4365" max="4365" width="2.375" style="497"/>
    <col min="4366" max="4366" width="10" style="497" customWidth="1"/>
    <col min="4367" max="4367" width="23.625" style="497" customWidth="1"/>
    <col min="4368" max="4381" width="10" style="497" customWidth="1"/>
    <col min="4382" max="4382" width="13.625" style="497" customWidth="1"/>
    <col min="4383" max="4383" width="33.75" style="497" customWidth="1"/>
    <col min="4384" max="4384" width="24" style="497" customWidth="1"/>
    <col min="4385" max="4385" width="22" style="497" customWidth="1"/>
    <col min="4386" max="4386" width="19" style="497" customWidth="1"/>
    <col min="4387" max="4387" width="20.625" style="497" customWidth="1"/>
    <col min="4388" max="4393" width="10" style="497" customWidth="1"/>
    <col min="4394" max="4394" width="21" style="497" customWidth="1"/>
    <col min="4395" max="4405" width="6.375" style="497" customWidth="1"/>
    <col min="4406" max="4406" width="7" style="497" customWidth="1"/>
    <col min="4407" max="4412" width="2.375" style="497"/>
    <col min="4413" max="4413" width="13.625" style="497" customWidth="1"/>
    <col min="4414" max="4414" width="6.625" style="497" customWidth="1"/>
    <col min="4415" max="4415" width="32.25" style="497" customWidth="1"/>
    <col min="4416" max="4416" width="2.375" style="497"/>
    <col min="4417" max="4579" width="10" style="497" customWidth="1"/>
    <col min="4580" max="4585" width="2.375" style="497"/>
    <col min="4586" max="4586" width="21" style="497" customWidth="1"/>
    <col min="4587" max="4619" width="6.375" style="497" customWidth="1"/>
    <col min="4620" max="4620" width="10" style="497" customWidth="1"/>
    <col min="4621" max="4621" width="2.375" style="497"/>
    <col min="4622" max="4622" width="10" style="497" customWidth="1"/>
    <col min="4623" max="4623" width="23.625" style="497" customWidth="1"/>
    <col min="4624" max="4637" width="10" style="497" customWidth="1"/>
    <col min="4638" max="4638" width="13.625" style="497" customWidth="1"/>
    <col min="4639" max="4639" width="33.75" style="497" customWidth="1"/>
    <col min="4640" max="4640" width="24" style="497" customWidth="1"/>
    <col min="4641" max="4641" width="22" style="497" customWidth="1"/>
    <col min="4642" max="4642" width="19" style="497" customWidth="1"/>
    <col min="4643" max="4643" width="20.625" style="497" customWidth="1"/>
    <col min="4644" max="4649" width="10" style="497" customWidth="1"/>
    <col min="4650" max="4650" width="21" style="497" customWidth="1"/>
    <col min="4651" max="4661" width="6.375" style="497" customWidth="1"/>
    <col min="4662" max="4662" width="7" style="497" customWidth="1"/>
    <col min="4663" max="4668" width="2.375" style="497"/>
    <col min="4669" max="4669" width="13.625" style="497" customWidth="1"/>
    <col min="4670" max="4670" width="6.625" style="497" customWidth="1"/>
    <col min="4671" max="4671" width="32.25" style="497" customWidth="1"/>
    <col min="4672" max="4672" width="2.375" style="497"/>
    <col min="4673" max="4835" width="10" style="497" customWidth="1"/>
    <col min="4836" max="4841" width="2.375" style="497"/>
    <col min="4842" max="4842" width="21" style="497" customWidth="1"/>
    <col min="4843" max="4875" width="6.375" style="497" customWidth="1"/>
    <col min="4876" max="4876" width="10" style="497" customWidth="1"/>
    <col min="4877" max="4877" width="2.375" style="497"/>
    <col min="4878" max="4878" width="10" style="497" customWidth="1"/>
    <col min="4879" max="4879" width="23.625" style="497" customWidth="1"/>
    <col min="4880" max="4893" width="10" style="497" customWidth="1"/>
    <col min="4894" max="4894" width="13.625" style="497" customWidth="1"/>
    <col min="4895" max="4895" width="33.75" style="497" customWidth="1"/>
    <col min="4896" max="4896" width="24" style="497" customWidth="1"/>
    <col min="4897" max="4897" width="22" style="497" customWidth="1"/>
    <col min="4898" max="4898" width="19" style="497" customWidth="1"/>
    <col min="4899" max="4899" width="20.625" style="497" customWidth="1"/>
    <col min="4900" max="4905" width="10" style="497" customWidth="1"/>
    <col min="4906" max="4906" width="21" style="497" customWidth="1"/>
    <col min="4907" max="4917" width="6.375" style="497" customWidth="1"/>
    <col min="4918" max="4918" width="7" style="497" customWidth="1"/>
    <col min="4919" max="4924" width="2.375" style="497"/>
    <col min="4925" max="4925" width="13.625" style="497" customWidth="1"/>
    <col min="4926" max="4926" width="6.625" style="497" customWidth="1"/>
    <col min="4927" max="4927" width="32.25" style="497" customWidth="1"/>
    <col min="4928" max="4928" width="2.375" style="497"/>
    <col min="4929" max="5091" width="10" style="497" customWidth="1"/>
    <col min="5092" max="5097" width="2.375" style="497"/>
    <col min="5098" max="5098" width="21" style="497" customWidth="1"/>
    <col min="5099" max="5131" width="6.375" style="497" customWidth="1"/>
    <col min="5132" max="5132" width="10" style="497" customWidth="1"/>
    <col min="5133" max="5133" width="2.375" style="497"/>
    <col min="5134" max="5134" width="10" style="497" customWidth="1"/>
    <col min="5135" max="5135" width="23.625" style="497" customWidth="1"/>
    <col min="5136" max="5149" width="10" style="497" customWidth="1"/>
    <col min="5150" max="5150" width="13.625" style="497" customWidth="1"/>
    <col min="5151" max="5151" width="33.75" style="497" customWidth="1"/>
    <col min="5152" max="5152" width="24" style="497" customWidth="1"/>
    <col min="5153" max="5153" width="22" style="497" customWidth="1"/>
    <col min="5154" max="5154" width="19" style="497" customWidth="1"/>
    <col min="5155" max="5155" width="20.625" style="497" customWidth="1"/>
    <col min="5156" max="5161" width="10" style="497" customWidth="1"/>
    <col min="5162" max="5162" width="21" style="497" customWidth="1"/>
    <col min="5163" max="5173" width="6.375" style="497" customWidth="1"/>
    <col min="5174" max="5174" width="7" style="497" customWidth="1"/>
    <col min="5175" max="5180" width="2.375" style="497"/>
    <col min="5181" max="5181" width="13.625" style="497" customWidth="1"/>
    <col min="5182" max="5182" width="6.625" style="497" customWidth="1"/>
    <col min="5183" max="5183" width="32.25" style="497" customWidth="1"/>
    <col min="5184" max="5184" width="2.375" style="497"/>
    <col min="5185" max="5347" width="10" style="497" customWidth="1"/>
    <col min="5348" max="5353" width="2.375" style="497"/>
    <col min="5354" max="5354" width="21" style="497" customWidth="1"/>
    <col min="5355" max="5387" width="6.375" style="497" customWidth="1"/>
    <col min="5388" max="5388" width="10" style="497" customWidth="1"/>
    <col min="5389" max="5389" width="2.375" style="497"/>
    <col min="5390" max="5390" width="10" style="497" customWidth="1"/>
    <col min="5391" max="5391" width="23.625" style="497" customWidth="1"/>
    <col min="5392" max="5405" width="10" style="497" customWidth="1"/>
    <col min="5406" max="5406" width="13.625" style="497" customWidth="1"/>
    <col min="5407" max="5407" width="33.75" style="497" customWidth="1"/>
    <col min="5408" max="5408" width="24" style="497" customWidth="1"/>
    <col min="5409" max="5409" width="22" style="497" customWidth="1"/>
    <col min="5410" max="5410" width="19" style="497" customWidth="1"/>
    <col min="5411" max="5411" width="20.625" style="497" customWidth="1"/>
    <col min="5412" max="5417" width="10" style="497" customWidth="1"/>
    <col min="5418" max="5418" width="21" style="497" customWidth="1"/>
    <col min="5419" max="5429" width="6.375" style="497" customWidth="1"/>
    <col min="5430" max="5430" width="7" style="497" customWidth="1"/>
    <col min="5431" max="5436" width="2.375" style="497"/>
    <col min="5437" max="5437" width="13.625" style="497" customWidth="1"/>
    <col min="5438" max="5438" width="6.625" style="497" customWidth="1"/>
    <col min="5439" max="5439" width="32.25" style="497" customWidth="1"/>
    <col min="5440" max="5440" width="2.375" style="497"/>
    <col min="5441" max="5603" width="10" style="497" customWidth="1"/>
    <col min="5604" max="5609" width="2.375" style="497"/>
    <col min="5610" max="5610" width="21" style="497" customWidth="1"/>
    <col min="5611" max="5643" width="6.375" style="497" customWidth="1"/>
    <col min="5644" max="5644" width="10" style="497" customWidth="1"/>
    <col min="5645" max="5645" width="2.375" style="497"/>
    <col min="5646" max="5646" width="10" style="497" customWidth="1"/>
    <col min="5647" max="5647" width="23.625" style="497" customWidth="1"/>
    <col min="5648" max="5661" width="10" style="497" customWidth="1"/>
    <col min="5662" max="5662" width="13.625" style="497" customWidth="1"/>
    <col min="5663" max="5663" width="33.75" style="497" customWidth="1"/>
    <col min="5664" max="5664" width="24" style="497" customWidth="1"/>
    <col min="5665" max="5665" width="22" style="497" customWidth="1"/>
    <col min="5666" max="5666" width="19" style="497" customWidth="1"/>
    <col min="5667" max="5667" width="20.625" style="497" customWidth="1"/>
    <col min="5668" max="5673" width="10" style="497" customWidth="1"/>
    <col min="5674" max="5674" width="21" style="497" customWidth="1"/>
    <col min="5675" max="5685" width="6.375" style="497" customWidth="1"/>
    <col min="5686" max="5686" width="7" style="497" customWidth="1"/>
    <col min="5687" max="5692" width="2.375" style="497"/>
    <col min="5693" max="5693" width="13.625" style="497" customWidth="1"/>
    <col min="5694" max="5694" width="6.625" style="497" customWidth="1"/>
    <col min="5695" max="5695" width="32.25" style="497" customWidth="1"/>
    <col min="5696" max="5696" width="2.375" style="497"/>
    <col min="5697" max="5859" width="10" style="497" customWidth="1"/>
    <col min="5860" max="5865" width="2.375" style="497"/>
    <col min="5866" max="5866" width="21" style="497" customWidth="1"/>
    <col min="5867" max="5899" width="6.375" style="497" customWidth="1"/>
    <col min="5900" max="5900" width="10" style="497" customWidth="1"/>
    <col min="5901" max="5901" width="2.375" style="497"/>
    <col min="5902" max="5902" width="10" style="497" customWidth="1"/>
    <col min="5903" max="5903" width="23.625" style="497" customWidth="1"/>
    <col min="5904" max="5917" width="10" style="497" customWidth="1"/>
    <col min="5918" max="5918" width="13.625" style="497" customWidth="1"/>
    <col min="5919" max="5919" width="33.75" style="497" customWidth="1"/>
    <col min="5920" max="5920" width="24" style="497" customWidth="1"/>
    <col min="5921" max="5921" width="22" style="497" customWidth="1"/>
    <col min="5922" max="5922" width="19" style="497" customWidth="1"/>
    <col min="5923" max="5923" width="20.625" style="497" customWidth="1"/>
    <col min="5924" max="5929" width="10" style="497" customWidth="1"/>
    <col min="5930" max="5930" width="21" style="497" customWidth="1"/>
    <col min="5931" max="5941" width="6.375" style="497" customWidth="1"/>
    <col min="5942" max="5942" width="7" style="497" customWidth="1"/>
    <col min="5943" max="5948" width="2.375" style="497"/>
    <col min="5949" max="5949" width="13.625" style="497" customWidth="1"/>
    <col min="5950" max="5950" width="6.625" style="497" customWidth="1"/>
    <col min="5951" max="5951" width="32.25" style="497" customWidth="1"/>
    <col min="5952" max="5952" width="2.375" style="497"/>
    <col min="5953" max="6115" width="10" style="497" customWidth="1"/>
    <col min="6116" max="6121" width="2.375" style="497"/>
    <col min="6122" max="6122" width="21" style="497" customWidth="1"/>
    <col min="6123" max="6155" width="6.375" style="497" customWidth="1"/>
    <col min="6156" max="6156" width="10" style="497" customWidth="1"/>
    <col min="6157" max="6157" width="2.375" style="497"/>
    <col min="6158" max="6158" width="10" style="497" customWidth="1"/>
    <col min="6159" max="6159" width="23.625" style="497" customWidth="1"/>
    <col min="6160" max="6173" width="10" style="497" customWidth="1"/>
    <col min="6174" max="6174" width="13.625" style="497" customWidth="1"/>
    <col min="6175" max="6175" width="33.75" style="497" customWidth="1"/>
    <col min="6176" max="6176" width="24" style="497" customWidth="1"/>
    <col min="6177" max="6177" width="22" style="497" customWidth="1"/>
    <col min="6178" max="6178" width="19" style="497" customWidth="1"/>
    <col min="6179" max="6179" width="20.625" style="497" customWidth="1"/>
    <col min="6180" max="6185" width="10" style="497" customWidth="1"/>
    <col min="6186" max="6186" width="21" style="497" customWidth="1"/>
    <col min="6187" max="6197" width="6.375" style="497" customWidth="1"/>
    <col min="6198" max="6198" width="7" style="497" customWidth="1"/>
    <col min="6199" max="6204" width="2.375" style="497"/>
    <col min="6205" max="6205" width="13.625" style="497" customWidth="1"/>
    <col min="6206" max="6206" width="6.625" style="497" customWidth="1"/>
    <col min="6207" max="6207" width="32.25" style="497" customWidth="1"/>
    <col min="6208" max="6208" width="2.375" style="497"/>
    <col min="6209" max="6371" width="10" style="497" customWidth="1"/>
    <col min="6372" max="6377" width="2.375" style="497"/>
    <col min="6378" max="6378" width="21" style="497" customWidth="1"/>
    <col min="6379" max="6411" width="6.375" style="497" customWidth="1"/>
    <col min="6412" max="6412" width="10" style="497" customWidth="1"/>
    <col min="6413" max="6413" width="2.375" style="497"/>
    <col min="6414" max="6414" width="10" style="497" customWidth="1"/>
    <col min="6415" max="6415" width="23.625" style="497" customWidth="1"/>
    <col min="6416" max="6429" width="10" style="497" customWidth="1"/>
    <col min="6430" max="6430" width="13.625" style="497" customWidth="1"/>
    <col min="6431" max="6431" width="33.75" style="497" customWidth="1"/>
    <col min="6432" max="6432" width="24" style="497" customWidth="1"/>
    <col min="6433" max="6433" width="22" style="497" customWidth="1"/>
    <col min="6434" max="6434" width="19" style="497" customWidth="1"/>
    <col min="6435" max="6435" width="20.625" style="497" customWidth="1"/>
    <col min="6436" max="6441" width="10" style="497" customWidth="1"/>
    <col min="6442" max="6442" width="21" style="497" customWidth="1"/>
    <col min="6443" max="6453" width="6.375" style="497" customWidth="1"/>
    <col min="6454" max="6454" width="7" style="497" customWidth="1"/>
    <col min="6455" max="6460" width="2.375" style="497"/>
    <col min="6461" max="6461" width="13.625" style="497" customWidth="1"/>
    <col min="6462" max="6462" width="6.625" style="497" customWidth="1"/>
    <col min="6463" max="6463" width="32.25" style="497" customWidth="1"/>
    <col min="6464" max="6464" width="2.375" style="497"/>
    <col min="6465" max="6627" width="10" style="497" customWidth="1"/>
    <col min="6628" max="6633" width="2.375" style="497"/>
    <col min="6634" max="6634" width="21" style="497" customWidth="1"/>
    <col min="6635" max="6667" width="6.375" style="497" customWidth="1"/>
    <col min="6668" max="6668" width="10" style="497" customWidth="1"/>
    <col min="6669" max="6669" width="2.375" style="497"/>
    <col min="6670" max="6670" width="10" style="497" customWidth="1"/>
    <col min="6671" max="6671" width="23.625" style="497" customWidth="1"/>
    <col min="6672" max="6685" width="10" style="497" customWidth="1"/>
    <col min="6686" max="6686" width="13.625" style="497" customWidth="1"/>
    <col min="6687" max="6687" width="33.75" style="497" customWidth="1"/>
    <col min="6688" max="6688" width="24" style="497" customWidth="1"/>
    <col min="6689" max="6689" width="22" style="497" customWidth="1"/>
    <col min="6690" max="6690" width="19" style="497" customWidth="1"/>
    <col min="6691" max="6691" width="20.625" style="497" customWidth="1"/>
    <col min="6692" max="6697" width="10" style="497" customWidth="1"/>
    <col min="6698" max="6698" width="21" style="497" customWidth="1"/>
    <col min="6699" max="6709" width="6.375" style="497" customWidth="1"/>
    <col min="6710" max="6710" width="7" style="497" customWidth="1"/>
    <col min="6711" max="6716" width="2.375" style="497"/>
    <col min="6717" max="6717" width="13.625" style="497" customWidth="1"/>
    <col min="6718" max="6718" width="6.625" style="497" customWidth="1"/>
    <col min="6719" max="6719" width="32.25" style="497" customWidth="1"/>
    <col min="6720" max="6720" width="2.375" style="497"/>
    <col min="6721" max="6883" width="10" style="497" customWidth="1"/>
    <col min="6884" max="6889" width="2.375" style="497"/>
    <col min="6890" max="6890" width="21" style="497" customWidth="1"/>
    <col min="6891" max="6923" width="6.375" style="497" customWidth="1"/>
    <col min="6924" max="6924" width="10" style="497" customWidth="1"/>
    <col min="6925" max="6925" width="2.375" style="497"/>
    <col min="6926" max="6926" width="10" style="497" customWidth="1"/>
    <col min="6927" max="6927" width="23.625" style="497" customWidth="1"/>
    <col min="6928" max="6941" width="10" style="497" customWidth="1"/>
    <col min="6942" max="6942" width="13.625" style="497" customWidth="1"/>
    <col min="6943" max="6943" width="33.75" style="497" customWidth="1"/>
    <col min="6944" max="6944" width="24" style="497" customWidth="1"/>
    <col min="6945" max="6945" width="22" style="497" customWidth="1"/>
    <col min="6946" max="6946" width="19" style="497" customWidth="1"/>
    <col min="6947" max="6947" width="20.625" style="497" customWidth="1"/>
    <col min="6948" max="6953" width="10" style="497" customWidth="1"/>
    <col min="6954" max="6954" width="21" style="497" customWidth="1"/>
    <col min="6955" max="6965" width="6.375" style="497" customWidth="1"/>
    <col min="6966" max="6966" width="7" style="497" customWidth="1"/>
    <col min="6967" max="6972" width="2.375" style="497"/>
    <col min="6973" max="6973" width="13.625" style="497" customWidth="1"/>
    <col min="6974" max="6974" width="6.625" style="497" customWidth="1"/>
    <col min="6975" max="6975" width="32.25" style="497" customWidth="1"/>
    <col min="6976" max="6976" width="2.375" style="497"/>
    <col min="6977" max="7139" width="10" style="497" customWidth="1"/>
    <col min="7140" max="7145" width="2.375" style="497"/>
    <col min="7146" max="7146" width="21" style="497" customWidth="1"/>
    <col min="7147" max="7179" width="6.375" style="497" customWidth="1"/>
    <col min="7180" max="7180" width="10" style="497" customWidth="1"/>
    <col min="7181" max="7181" width="2.375" style="497"/>
    <col min="7182" max="7182" width="10" style="497" customWidth="1"/>
    <col min="7183" max="7183" width="23.625" style="497" customWidth="1"/>
    <col min="7184" max="7197" width="10" style="497" customWidth="1"/>
    <col min="7198" max="7198" width="13.625" style="497" customWidth="1"/>
    <col min="7199" max="7199" width="33.75" style="497" customWidth="1"/>
    <col min="7200" max="7200" width="24" style="497" customWidth="1"/>
    <col min="7201" max="7201" width="22" style="497" customWidth="1"/>
    <col min="7202" max="7202" width="19" style="497" customWidth="1"/>
    <col min="7203" max="7203" width="20.625" style="497" customWidth="1"/>
    <col min="7204" max="7209" width="10" style="497" customWidth="1"/>
    <col min="7210" max="7210" width="21" style="497" customWidth="1"/>
    <col min="7211" max="7221" width="6.375" style="497" customWidth="1"/>
    <col min="7222" max="7222" width="7" style="497" customWidth="1"/>
    <col min="7223" max="7228" width="2.375" style="497"/>
    <col min="7229" max="7229" width="13.625" style="497" customWidth="1"/>
    <col min="7230" max="7230" width="6.625" style="497" customWidth="1"/>
    <col min="7231" max="7231" width="32.25" style="497" customWidth="1"/>
    <col min="7232" max="7232" width="2.375" style="497"/>
    <col min="7233" max="7395" width="10" style="497" customWidth="1"/>
    <col min="7396" max="7401" width="2.375" style="497"/>
    <col min="7402" max="7402" width="21" style="497" customWidth="1"/>
    <col min="7403" max="7435" width="6.375" style="497" customWidth="1"/>
    <col min="7436" max="7436" width="10" style="497" customWidth="1"/>
    <col min="7437" max="7437" width="2.375" style="497"/>
    <col min="7438" max="7438" width="10" style="497" customWidth="1"/>
    <col min="7439" max="7439" width="23.625" style="497" customWidth="1"/>
    <col min="7440" max="7453" width="10" style="497" customWidth="1"/>
    <col min="7454" max="7454" width="13.625" style="497" customWidth="1"/>
    <col min="7455" max="7455" width="33.75" style="497" customWidth="1"/>
    <col min="7456" max="7456" width="24" style="497" customWidth="1"/>
    <col min="7457" max="7457" width="22" style="497" customWidth="1"/>
    <col min="7458" max="7458" width="19" style="497" customWidth="1"/>
    <col min="7459" max="7459" width="20.625" style="497" customWidth="1"/>
    <col min="7460" max="7465" width="10" style="497" customWidth="1"/>
    <col min="7466" max="7466" width="21" style="497" customWidth="1"/>
    <col min="7467" max="7477" width="6.375" style="497" customWidth="1"/>
    <col min="7478" max="7478" width="7" style="497" customWidth="1"/>
    <col min="7479" max="7484" width="2.375" style="497"/>
    <col min="7485" max="7485" width="13.625" style="497" customWidth="1"/>
    <col min="7486" max="7486" width="6.625" style="497" customWidth="1"/>
    <col min="7487" max="7487" width="32.25" style="497" customWidth="1"/>
    <col min="7488" max="7488" width="2.375" style="497"/>
    <col min="7489" max="7651" width="10" style="497" customWidth="1"/>
    <col min="7652" max="7657" width="2.375" style="497"/>
    <col min="7658" max="7658" width="21" style="497" customWidth="1"/>
    <col min="7659" max="7691" width="6.375" style="497" customWidth="1"/>
    <col min="7692" max="7692" width="10" style="497" customWidth="1"/>
    <col min="7693" max="7693" width="2.375" style="497"/>
    <col min="7694" max="7694" width="10" style="497" customWidth="1"/>
    <col min="7695" max="7695" width="23.625" style="497" customWidth="1"/>
    <col min="7696" max="7709" width="10" style="497" customWidth="1"/>
    <col min="7710" max="7710" width="13.625" style="497" customWidth="1"/>
    <col min="7711" max="7711" width="33.75" style="497" customWidth="1"/>
    <col min="7712" max="7712" width="24" style="497" customWidth="1"/>
    <col min="7713" max="7713" width="22" style="497" customWidth="1"/>
    <col min="7714" max="7714" width="19" style="497" customWidth="1"/>
    <col min="7715" max="7715" width="20.625" style="497" customWidth="1"/>
    <col min="7716" max="7721" width="10" style="497" customWidth="1"/>
    <col min="7722" max="7722" width="21" style="497" customWidth="1"/>
    <col min="7723" max="7733" width="6.375" style="497" customWidth="1"/>
    <col min="7734" max="7734" width="7" style="497" customWidth="1"/>
    <col min="7735" max="7740" width="2.375" style="497"/>
    <col min="7741" max="7741" width="13.625" style="497" customWidth="1"/>
    <col min="7742" max="7742" width="6.625" style="497" customWidth="1"/>
    <col min="7743" max="7743" width="32.25" style="497" customWidth="1"/>
    <col min="7744" max="7744" width="2.375" style="497"/>
    <col min="7745" max="7907" width="10" style="497" customWidth="1"/>
    <col min="7908" max="7913" width="2.375" style="497"/>
    <col min="7914" max="7914" width="21" style="497" customWidth="1"/>
    <col min="7915" max="7947" width="6.375" style="497" customWidth="1"/>
    <col min="7948" max="7948" width="10" style="497" customWidth="1"/>
    <col min="7949" max="7949" width="2.375" style="497"/>
    <col min="7950" max="7950" width="10" style="497" customWidth="1"/>
    <col min="7951" max="7951" width="23.625" style="497" customWidth="1"/>
    <col min="7952" max="7965" width="10" style="497" customWidth="1"/>
    <col min="7966" max="7966" width="13.625" style="497" customWidth="1"/>
    <col min="7967" max="7967" width="33.75" style="497" customWidth="1"/>
    <col min="7968" max="7968" width="24" style="497" customWidth="1"/>
    <col min="7969" max="7969" width="22" style="497" customWidth="1"/>
    <col min="7970" max="7970" width="19" style="497" customWidth="1"/>
    <col min="7971" max="7971" width="20.625" style="497" customWidth="1"/>
    <col min="7972" max="7977" width="10" style="497" customWidth="1"/>
    <col min="7978" max="7978" width="21" style="497" customWidth="1"/>
    <col min="7979" max="7989" width="6.375" style="497" customWidth="1"/>
    <col min="7990" max="7990" width="7" style="497" customWidth="1"/>
    <col min="7991" max="7996" width="2.375" style="497"/>
    <col min="7997" max="7997" width="13.625" style="497" customWidth="1"/>
    <col min="7998" max="7998" width="6.625" style="497" customWidth="1"/>
    <col min="7999" max="7999" width="32.25" style="497" customWidth="1"/>
    <col min="8000" max="8000" width="2.375" style="497"/>
    <col min="8001" max="8163" width="10" style="497" customWidth="1"/>
    <col min="8164" max="8169" width="2.375" style="497"/>
    <col min="8170" max="8170" width="21" style="497" customWidth="1"/>
    <col min="8171" max="8203" width="6.375" style="497" customWidth="1"/>
    <col min="8204" max="8204" width="10" style="497" customWidth="1"/>
    <col min="8205" max="8205" width="2.375" style="497"/>
    <col min="8206" max="8206" width="10" style="497" customWidth="1"/>
    <col min="8207" max="8207" width="23.625" style="497" customWidth="1"/>
    <col min="8208" max="8221" width="10" style="497" customWidth="1"/>
    <col min="8222" max="8222" width="13.625" style="497" customWidth="1"/>
    <col min="8223" max="8223" width="33.75" style="497" customWidth="1"/>
    <col min="8224" max="8224" width="24" style="497" customWidth="1"/>
    <col min="8225" max="8225" width="22" style="497" customWidth="1"/>
    <col min="8226" max="8226" width="19" style="497" customWidth="1"/>
    <col min="8227" max="8227" width="20.625" style="497" customWidth="1"/>
    <col min="8228" max="8233" width="10" style="497" customWidth="1"/>
    <col min="8234" max="8234" width="21" style="497" customWidth="1"/>
    <col min="8235" max="8245" width="6.375" style="497" customWidth="1"/>
    <col min="8246" max="8246" width="7" style="497" customWidth="1"/>
    <col min="8247" max="8252" width="2.375" style="497"/>
    <col min="8253" max="8253" width="13.625" style="497" customWidth="1"/>
    <col min="8254" max="8254" width="6.625" style="497" customWidth="1"/>
    <col min="8255" max="8255" width="32.25" style="497" customWidth="1"/>
    <col min="8256" max="8256" width="2.375" style="497"/>
    <col min="8257" max="8419" width="10" style="497" customWidth="1"/>
    <col min="8420" max="8425" width="2.375" style="497"/>
    <col min="8426" max="8426" width="21" style="497" customWidth="1"/>
    <col min="8427" max="8459" width="6.375" style="497" customWidth="1"/>
    <col min="8460" max="8460" width="10" style="497" customWidth="1"/>
    <col min="8461" max="8461" width="2.375" style="497"/>
    <col min="8462" max="8462" width="10" style="497" customWidth="1"/>
    <col min="8463" max="8463" width="23.625" style="497" customWidth="1"/>
    <col min="8464" max="8477" width="10" style="497" customWidth="1"/>
    <col min="8478" max="8478" width="13.625" style="497" customWidth="1"/>
    <col min="8479" max="8479" width="33.75" style="497" customWidth="1"/>
    <col min="8480" max="8480" width="24" style="497" customWidth="1"/>
    <col min="8481" max="8481" width="22" style="497" customWidth="1"/>
    <col min="8482" max="8482" width="19" style="497" customWidth="1"/>
    <col min="8483" max="8483" width="20.625" style="497" customWidth="1"/>
    <col min="8484" max="8489" width="10" style="497" customWidth="1"/>
    <col min="8490" max="8490" width="21" style="497" customWidth="1"/>
    <col min="8491" max="8501" width="6.375" style="497" customWidth="1"/>
    <col min="8502" max="8502" width="7" style="497" customWidth="1"/>
    <col min="8503" max="8508" width="2.375" style="497"/>
    <col min="8509" max="8509" width="13.625" style="497" customWidth="1"/>
    <col min="8510" max="8510" width="6.625" style="497" customWidth="1"/>
    <col min="8511" max="8511" width="32.25" style="497" customWidth="1"/>
    <col min="8512" max="8512" width="2.375" style="497"/>
    <col min="8513" max="8675" width="10" style="497" customWidth="1"/>
    <col min="8676" max="8681" width="2.375" style="497"/>
    <col min="8682" max="8682" width="21" style="497" customWidth="1"/>
    <col min="8683" max="8715" width="6.375" style="497" customWidth="1"/>
    <col min="8716" max="8716" width="10" style="497" customWidth="1"/>
    <col min="8717" max="8717" width="2.375" style="497"/>
    <col min="8718" max="8718" width="10" style="497" customWidth="1"/>
    <col min="8719" max="8719" width="23.625" style="497" customWidth="1"/>
    <col min="8720" max="8733" width="10" style="497" customWidth="1"/>
    <col min="8734" max="8734" width="13.625" style="497" customWidth="1"/>
    <col min="8735" max="8735" width="33.75" style="497" customWidth="1"/>
    <col min="8736" max="8736" width="24" style="497" customWidth="1"/>
    <col min="8737" max="8737" width="22" style="497" customWidth="1"/>
    <col min="8738" max="8738" width="19" style="497" customWidth="1"/>
    <col min="8739" max="8739" width="20.625" style="497" customWidth="1"/>
    <col min="8740" max="8745" width="10" style="497" customWidth="1"/>
    <col min="8746" max="8746" width="21" style="497" customWidth="1"/>
    <col min="8747" max="8757" width="6.375" style="497" customWidth="1"/>
    <col min="8758" max="8758" width="7" style="497" customWidth="1"/>
    <col min="8759" max="8764" width="2.375" style="497"/>
    <col min="8765" max="8765" width="13.625" style="497" customWidth="1"/>
    <col min="8766" max="8766" width="6.625" style="497" customWidth="1"/>
    <col min="8767" max="8767" width="32.25" style="497" customWidth="1"/>
    <col min="8768" max="8768" width="2.375" style="497"/>
    <col min="8769" max="8931" width="10" style="497" customWidth="1"/>
    <col min="8932" max="8937" width="2.375" style="497"/>
    <col min="8938" max="8938" width="21" style="497" customWidth="1"/>
    <col min="8939" max="8971" width="6.375" style="497" customWidth="1"/>
    <col min="8972" max="8972" width="10" style="497" customWidth="1"/>
    <col min="8973" max="8973" width="2.375" style="497"/>
    <col min="8974" max="8974" width="10" style="497" customWidth="1"/>
    <col min="8975" max="8975" width="23.625" style="497" customWidth="1"/>
    <col min="8976" max="8989" width="10" style="497" customWidth="1"/>
    <col min="8990" max="8990" width="13.625" style="497" customWidth="1"/>
    <col min="8991" max="8991" width="33.75" style="497" customWidth="1"/>
    <col min="8992" max="8992" width="24" style="497" customWidth="1"/>
    <col min="8993" max="8993" width="22" style="497" customWidth="1"/>
    <col min="8994" max="8994" width="19" style="497" customWidth="1"/>
    <col min="8995" max="8995" width="20.625" style="497" customWidth="1"/>
    <col min="8996" max="9001" width="10" style="497" customWidth="1"/>
    <col min="9002" max="9002" width="21" style="497" customWidth="1"/>
    <col min="9003" max="9013" width="6.375" style="497" customWidth="1"/>
    <col min="9014" max="9014" width="7" style="497" customWidth="1"/>
    <col min="9015" max="9020" width="2.375" style="497"/>
    <col min="9021" max="9021" width="13.625" style="497" customWidth="1"/>
    <col min="9022" max="9022" width="6.625" style="497" customWidth="1"/>
    <col min="9023" max="9023" width="32.25" style="497" customWidth="1"/>
    <col min="9024" max="9024" width="2.375" style="497"/>
    <col min="9025" max="9187" width="10" style="497" customWidth="1"/>
    <col min="9188" max="9193" width="2.375" style="497"/>
    <col min="9194" max="9194" width="21" style="497" customWidth="1"/>
    <col min="9195" max="9227" width="6.375" style="497" customWidth="1"/>
    <col min="9228" max="9228" width="10" style="497" customWidth="1"/>
    <col min="9229" max="9229" width="2.375" style="497"/>
    <col min="9230" max="9230" width="10" style="497" customWidth="1"/>
    <col min="9231" max="9231" width="23.625" style="497" customWidth="1"/>
    <col min="9232" max="9245" width="10" style="497" customWidth="1"/>
    <col min="9246" max="9246" width="13.625" style="497" customWidth="1"/>
    <col min="9247" max="9247" width="33.75" style="497" customWidth="1"/>
    <col min="9248" max="9248" width="24" style="497" customWidth="1"/>
    <col min="9249" max="9249" width="22" style="497" customWidth="1"/>
    <col min="9250" max="9250" width="19" style="497" customWidth="1"/>
    <col min="9251" max="9251" width="20.625" style="497" customWidth="1"/>
    <col min="9252" max="9257" width="10" style="497" customWidth="1"/>
    <col min="9258" max="9258" width="21" style="497" customWidth="1"/>
    <col min="9259" max="9269" width="6.375" style="497" customWidth="1"/>
    <col min="9270" max="9270" width="7" style="497" customWidth="1"/>
    <col min="9271" max="9276" width="2.375" style="497"/>
    <col min="9277" max="9277" width="13.625" style="497" customWidth="1"/>
    <col min="9278" max="9278" width="6.625" style="497" customWidth="1"/>
    <col min="9279" max="9279" width="32.25" style="497" customWidth="1"/>
    <col min="9280" max="9280" width="2.375" style="497"/>
    <col min="9281" max="9443" width="10" style="497" customWidth="1"/>
    <col min="9444" max="9449" width="2.375" style="497"/>
    <col min="9450" max="9450" width="21" style="497" customWidth="1"/>
    <col min="9451" max="9483" width="6.375" style="497" customWidth="1"/>
    <col min="9484" max="9484" width="10" style="497" customWidth="1"/>
    <col min="9485" max="9485" width="2.375" style="497"/>
    <col min="9486" max="9486" width="10" style="497" customWidth="1"/>
    <col min="9487" max="9487" width="23.625" style="497" customWidth="1"/>
    <col min="9488" max="9501" width="10" style="497" customWidth="1"/>
    <col min="9502" max="9502" width="13.625" style="497" customWidth="1"/>
    <col min="9503" max="9503" width="33.75" style="497" customWidth="1"/>
    <col min="9504" max="9504" width="24" style="497" customWidth="1"/>
    <col min="9505" max="9505" width="22" style="497" customWidth="1"/>
    <col min="9506" max="9506" width="19" style="497" customWidth="1"/>
    <col min="9507" max="9507" width="20.625" style="497" customWidth="1"/>
    <col min="9508" max="9513" width="10" style="497" customWidth="1"/>
    <col min="9514" max="9514" width="21" style="497" customWidth="1"/>
    <col min="9515" max="9525" width="6.375" style="497" customWidth="1"/>
    <col min="9526" max="9526" width="7" style="497" customWidth="1"/>
    <col min="9527" max="9532" width="2.375" style="497"/>
    <col min="9533" max="9533" width="13.625" style="497" customWidth="1"/>
    <col min="9534" max="9534" width="6.625" style="497" customWidth="1"/>
    <col min="9535" max="9535" width="32.25" style="497" customWidth="1"/>
    <col min="9536" max="9536" width="2.375" style="497"/>
    <col min="9537" max="9699" width="10" style="497" customWidth="1"/>
    <col min="9700" max="9705" width="2.375" style="497"/>
    <col min="9706" max="9706" width="21" style="497" customWidth="1"/>
    <col min="9707" max="9739" width="6.375" style="497" customWidth="1"/>
    <col min="9740" max="9740" width="10" style="497" customWidth="1"/>
    <col min="9741" max="9741" width="2.375" style="497"/>
    <col min="9742" max="9742" width="10" style="497" customWidth="1"/>
    <col min="9743" max="9743" width="23.625" style="497" customWidth="1"/>
    <col min="9744" max="9757" width="10" style="497" customWidth="1"/>
    <col min="9758" max="9758" width="13.625" style="497" customWidth="1"/>
    <col min="9759" max="9759" width="33.75" style="497" customWidth="1"/>
    <col min="9760" max="9760" width="24" style="497" customWidth="1"/>
    <col min="9761" max="9761" width="22" style="497" customWidth="1"/>
    <col min="9762" max="9762" width="19" style="497" customWidth="1"/>
    <col min="9763" max="9763" width="20.625" style="497" customWidth="1"/>
    <col min="9764" max="9769" width="10" style="497" customWidth="1"/>
    <col min="9770" max="9770" width="21" style="497" customWidth="1"/>
    <col min="9771" max="9781" width="6.375" style="497" customWidth="1"/>
    <col min="9782" max="9782" width="7" style="497" customWidth="1"/>
    <col min="9783" max="9788" width="2.375" style="497"/>
    <col min="9789" max="9789" width="13.625" style="497" customWidth="1"/>
    <col min="9790" max="9790" width="6.625" style="497" customWidth="1"/>
    <col min="9791" max="9791" width="32.25" style="497" customWidth="1"/>
    <col min="9792" max="9792" width="2.375" style="497"/>
    <col min="9793" max="9955" width="10" style="497" customWidth="1"/>
    <col min="9956" max="9961" width="2.375" style="497"/>
    <col min="9962" max="9962" width="21" style="497" customWidth="1"/>
    <col min="9963" max="9995" width="6.375" style="497" customWidth="1"/>
    <col min="9996" max="9996" width="10" style="497" customWidth="1"/>
    <col min="9997" max="9997" width="2.375" style="497"/>
    <col min="9998" max="9998" width="10" style="497" customWidth="1"/>
    <col min="9999" max="9999" width="23.625" style="497" customWidth="1"/>
    <col min="10000" max="10013" width="10" style="497" customWidth="1"/>
    <col min="10014" max="10014" width="13.625" style="497" customWidth="1"/>
    <col min="10015" max="10015" width="33.75" style="497" customWidth="1"/>
    <col min="10016" max="10016" width="24" style="497" customWidth="1"/>
    <col min="10017" max="10017" width="22" style="497" customWidth="1"/>
    <col min="10018" max="10018" width="19" style="497" customWidth="1"/>
    <col min="10019" max="10019" width="20.625" style="497" customWidth="1"/>
    <col min="10020" max="10025" width="10" style="497" customWidth="1"/>
    <col min="10026" max="10026" width="21" style="497" customWidth="1"/>
    <col min="10027" max="10037" width="6.375" style="497" customWidth="1"/>
    <col min="10038" max="10038" width="7" style="497" customWidth="1"/>
    <col min="10039" max="10044" width="2.375" style="497"/>
    <col min="10045" max="10045" width="13.625" style="497" customWidth="1"/>
    <col min="10046" max="10046" width="6.625" style="497" customWidth="1"/>
    <col min="10047" max="10047" width="32.25" style="497" customWidth="1"/>
    <col min="10048" max="10048" width="2.375" style="497"/>
    <col min="10049" max="10211" width="10" style="497" customWidth="1"/>
    <col min="10212" max="10217" width="2.375" style="497"/>
    <col min="10218" max="10218" width="21" style="497" customWidth="1"/>
    <col min="10219" max="10251" width="6.375" style="497" customWidth="1"/>
    <col min="10252" max="10252" width="10" style="497" customWidth="1"/>
    <col min="10253" max="10253" width="2.375" style="497"/>
    <col min="10254" max="10254" width="10" style="497" customWidth="1"/>
    <col min="10255" max="10255" width="23.625" style="497" customWidth="1"/>
    <col min="10256" max="10269" width="10" style="497" customWidth="1"/>
    <col min="10270" max="10270" width="13.625" style="497" customWidth="1"/>
    <col min="10271" max="10271" width="33.75" style="497" customWidth="1"/>
    <col min="10272" max="10272" width="24" style="497" customWidth="1"/>
    <col min="10273" max="10273" width="22" style="497" customWidth="1"/>
    <col min="10274" max="10274" width="19" style="497" customWidth="1"/>
    <col min="10275" max="10275" width="20.625" style="497" customWidth="1"/>
    <col min="10276" max="10281" width="10" style="497" customWidth="1"/>
    <col min="10282" max="10282" width="21" style="497" customWidth="1"/>
    <col min="10283" max="10293" width="6.375" style="497" customWidth="1"/>
    <col min="10294" max="10294" width="7" style="497" customWidth="1"/>
    <col min="10295" max="10300" width="2.375" style="497"/>
    <col min="10301" max="10301" width="13.625" style="497" customWidth="1"/>
    <col min="10302" max="10302" width="6.625" style="497" customWidth="1"/>
    <col min="10303" max="10303" width="32.25" style="497" customWidth="1"/>
    <col min="10304" max="10304" width="2.375" style="497"/>
    <col min="10305" max="10467" width="10" style="497" customWidth="1"/>
    <col min="10468" max="10473" width="2.375" style="497"/>
    <col min="10474" max="10474" width="21" style="497" customWidth="1"/>
    <col min="10475" max="10507" width="6.375" style="497" customWidth="1"/>
    <col min="10508" max="10508" width="10" style="497" customWidth="1"/>
    <col min="10509" max="10509" width="2.375" style="497"/>
    <col min="10510" max="10510" width="10" style="497" customWidth="1"/>
    <col min="10511" max="10511" width="23.625" style="497" customWidth="1"/>
    <col min="10512" max="10525" width="10" style="497" customWidth="1"/>
    <col min="10526" max="10526" width="13.625" style="497" customWidth="1"/>
    <col min="10527" max="10527" width="33.75" style="497" customWidth="1"/>
    <col min="10528" max="10528" width="24" style="497" customWidth="1"/>
    <col min="10529" max="10529" width="22" style="497" customWidth="1"/>
    <col min="10530" max="10530" width="19" style="497" customWidth="1"/>
    <col min="10531" max="10531" width="20.625" style="497" customWidth="1"/>
    <col min="10532" max="10537" width="10" style="497" customWidth="1"/>
    <col min="10538" max="10538" width="21" style="497" customWidth="1"/>
    <col min="10539" max="10549" width="6.375" style="497" customWidth="1"/>
    <col min="10550" max="10550" width="7" style="497" customWidth="1"/>
    <col min="10551" max="10556" width="2.375" style="497"/>
    <col min="10557" max="10557" width="13.625" style="497" customWidth="1"/>
    <col min="10558" max="10558" width="6.625" style="497" customWidth="1"/>
    <col min="10559" max="10559" width="32.25" style="497" customWidth="1"/>
    <col min="10560" max="10560" width="2.375" style="497"/>
    <col min="10561" max="10723" width="10" style="497" customWidth="1"/>
    <col min="10724" max="10729" width="2.375" style="497"/>
    <col min="10730" max="10730" width="21" style="497" customWidth="1"/>
    <col min="10731" max="10763" width="6.375" style="497" customWidth="1"/>
    <col min="10764" max="10764" width="10" style="497" customWidth="1"/>
    <col min="10765" max="10765" width="2.375" style="497"/>
    <col min="10766" max="10766" width="10" style="497" customWidth="1"/>
    <col min="10767" max="10767" width="23.625" style="497" customWidth="1"/>
    <col min="10768" max="10781" width="10" style="497" customWidth="1"/>
    <col min="10782" max="10782" width="13.625" style="497" customWidth="1"/>
    <col min="10783" max="10783" width="33.75" style="497" customWidth="1"/>
    <col min="10784" max="10784" width="24" style="497" customWidth="1"/>
    <col min="10785" max="10785" width="22" style="497" customWidth="1"/>
    <col min="10786" max="10786" width="19" style="497" customWidth="1"/>
    <col min="10787" max="10787" width="20.625" style="497" customWidth="1"/>
    <col min="10788" max="10793" width="10" style="497" customWidth="1"/>
    <col min="10794" max="10794" width="21" style="497" customWidth="1"/>
    <col min="10795" max="10805" width="6.375" style="497" customWidth="1"/>
    <col min="10806" max="10806" width="7" style="497" customWidth="1"/>
    <col min="10807" max="10812" width="2.375" style="497"/>
    <col min="10813" max="10813" width="13.625" style="497" customWidth="1"/>
    <col min="10814" max="10814" width="6.625" style="497" customWidth="1"/>
    <col min="10815" max="10815" width="32.25" style="497" customWidth="1"/>
    <col min="10816" max="10816" width="2.375" style="497"/>
    <col min="10817" max="10979" width="10" style="497" customWidth="1"/>
    <col min="10980" max="10985" width="2.375" style="497"/>
    <col min="10986" max="10986" width="21" style="497" customWidth="1"/>
    <col min="10987" max="11019" width="6.375" style="497" customWidth="1"/>
    <col min="11020" max="11020" width="10" style="497" customWidth="1"/>
    <col min="11021" max="11021" width="2.375" style="497"/>
    <col min="11022" max="11022" width="10" style="497" customWidth="1"/>
    <col min="11023" max="11023" width="23.625" style="497" customWidth="1"/>
    <col min="11024" max="11037" width="10" style="497" customWidth="1"/>
    <col min="11038" max="11038" width="13.625" style="497" customWidth="1"/>
    <col min="11039" max="11039" width="33.75" style="497" customWidth="1"/>
    <col min="11040" max="11040" width="24" style="497" customWidth="1"/>
    <col min="11041" max="11041" width="22" style="497" customWidth="1"/>
    <col min="11042" max="11042" width="19" style="497" customWidth="1"/>
    <col min="11043" max="11043" width="20.625" style="497" customWidth="1"/>
    <col min="11044" max="11049" width="10" style="497" customWidth="1"/>
    <col min="11050" max="11050" width="21" style="497" customWidth="1"/>
    <col min="11051" max="11061" width="6.375" style="497" customWidth="1"/>
    <col min="11062" max="11062" width="7" style="497" customWidth="1"/>
    <col min="11063" max="11068" width="2.375" style="497"/>
    <col min="11069" max="11069" width="13.625" style="497" customWidth="1"/>
    <col min="11070" max="11070" width="6.625" style="497" customWidth="1"/>
    <col min="11071" max="11071" width="32.25" style="497" customWidth="1"/>
    <col min="11072" max="11072" width="2.375" style="497"/>
    <col min="11073" max="11235" width="10" style="497" customWidth="1"/>
    <col min="11236" max="11241" width="2.375" style="497"/>
    <col min="11242" max="11242" width="21" style="497" customWidth="1"/>
    <col min="11243" max="11275" width="6.375" style="497" customWidth="1"/>
    <col min="11276" max="11276" width="10" style="497" customWidth="1"/>
    <col min="11277" max="11277" width="2.375" style="497"/>
    <col min="11278" max="11278" width="10" style="497" customWidth="1"/>
    <col min="11279" max="11279" width="23.625" style="497" customWidth="1"/>
    <col min="11280" max="11293" width="10" style="497" customWidth="1"/>
    <col min="11294" max="11294" width="13.625" style="497" customWidth="1"/>
    <col min="11295" max="11295" width="33.75" style="497" customWidth="1"/>
    <col min="11296" max="11296" width="24" style="497" customWidth="1"/>
    <col min="11297" max="11297" width="22" style="497" customWidth="1"/>
    <col min="11298" max="11298" width="19" style="497" customWidth="1"/>
    <col min="11299" max="11299" width="20.625" style="497" customWidth="1"/>
    <col min="11300" max="11305" width="10" style="497" customWidth="1"/>
    <col min="11306" max="11306" width="21" style="497" customWidth="1"/>
    <col min="11307" max="11317" width="6.375" style="497" customWidth="1"/>
    <col min="11318" max="11318" width="7" style="497" customWidth="1"/>
    <col min="11319" max="11324" width="2.375" style="497"/>
    <col min="11325" max="11325" width="13.625" style="497" customWidth="1"/>
    <col min="11326" max="11326" width="6.625" style="497" customWidth="1"/>
    <col min="11327" max="11327" width="32.25" style="497" customWidth="1"/>
    <col min="11328" max="11328" width="2.375" style="497"/>
    <col min="11329" max="11491" width="10" style="497" customWidth="1"/>
    <col min="11492" max="11497" width="2.375" style="497"/>
    <col min="11498" max="11498" width="21" style="497" customWidth="1"/>
    <col min="11499" max="11531" width="6.375" style="497" customWidth="1"/>
    <col min="11532" max="11532" width="10" style="497" customWidth="1"/>
    <col min="11533" max="11533" width="2.375" style="497"/>
    <col min="11534" max="11534" width="10" style="497" customWidth="1"/>
    <col min="11535" max="11535" width="23.625" style="497" customWidth="1"/>
    <col min="11536" max="11549" width="10" style="497" customWidth="1"/>
    <col min="11550" max="11550" width="13.625" style="497" customWidth="1"/>
    <col min="11551" max="11551" width="33.75" style="497" customWidth="1"/>
    <col min="11552" max="11552" width="24" style="497" customWidth="1"/>
    <col min="11553" max="11553" width="22" style="497" customWidth="1"/>
    <col min="11554" max="11554" width="19" style="497" customWidth="1"/>
    <col min="11555" max="11555" width="20.625" style="497" customWidth="1"/>
    <col min="11556" max="11561" width="10" style="497" customWidth="1"/>
    <col min="11562" max="11562" width="21" style="497" customWidth="1"/>
    <col min="11563" max="11573" width="6.375" style="497" customWidth="1"/>
    <col min="11574" max="11574" width="7" style="497" customWidth="1"/>
    <col min="11575" max="11580" width="2.375" style="497"/>
    <col min="11581" max="11581" width="13.625" style="497" customWidth="1"/>
    <col min="11582" max="11582" width="6.625" style="497" customWidth="1"/>
    <col min="11583" max="11583" width="32.25" style="497" customWidth="1"/>
    <col min="11584" max="11584" width="2.375" style="497"/>
    <col min="11585" max="11747" width="10" style="497" customWidth="1"/>
    <col min="11748" max="11753" width="2.375" style="497"/>
    <col min="11754" max="11754" width="21" style="497" customWidth="1"/>
    <col min="11755" max="11787" width="6.375" style="497" customWidth="1"/>
    <col min="11788" max="11788" width="10" style="497" customWidth="1"/>
    <col min="11789" max="11789" width="2.375" style="497"/>
    <col min="11790" max="11790" width="10" style="497" customWidth="1"/>
    <col min="11791" max="11791" width="23.625" style="497" customWidth="1"/>
    <col min="11792" max="11805" width="10" style="497" customWidth="1"/>
    <col min="11806" max="11806" width="13.625" style="497" customWidth="1"/>
    <col min="11807" max="11807" width="33.75" style="497" customWidth="1"/>
    <col min="11808" max="11808" width="24" style="497" customWidth="1"/>
    <col min="11809" max="11809" width="22" style="497" customWidth="1"/>
    <col min="11810" max="11810" width="19" style="497" customWidth="1"/>
    <col min="11811" max="11811" width="20.625" style="497" customWidth="1"/>
    <col min="11812" max="11817" width="10" style="497" customWidth="1"/>
    <col min="11818" max="11818" width="21" style="497" customWidth="1"/>
    <col min="11819" max="11829" width="6.375" style="497" customWidth="1"/>
    <col min="11830" max="11830" width="7" style="497" customWidth="1"/>
    <col min="11831" max="11836" width="2.375" style="497"/>
    <col min="11837" max="11837" width="13.625" style="497" customWidth="1"/>
    <col min="11838" max="11838" width="6.625" style="497" customWidth="1"/>
    <col min="11839" max="11839" width="32.25" style="497" customWidth="1"/>
    <col min="11840" max="11840" width="2.375" style="497"/>
    <col min="11841" max="12003" width="10" style="497" customWidth="1"/>
    <col min="12004" max="12009" width="2.375" style="497"/>
    <col min="12010" max="12010" width="21" style="497" customWidth="1"/>
    <col min="12011" max="12043" width="6.375" style="497" customWidth="1"/>
    <col min="12044" max="12044" width="10" style="497" customWidth="1"/>
    <col min="12045" max="12045" width="2.375" style="497"/>
    <col min="12046" max="12046" width="10" style="497" customWidth="1"/>
    <col min="12047" max="12047" width="23.625" style="497" customWidth="1"/>
    <col min="12048" max="12061" width="10" style="497" customWidth="1"/>
    <col min="12062" max="12062" width="13.625" style="497" customWidth="1"/>
    <col min="12063" max="12063" width="33.75" style="497" customWidth="1"/>
    <col min="12064" max="12064" width="24" style="497" customWidth="1"/>
    <col min="12065" max="12065" width="22" style="497" customWidth="1"/>
    <col min="12066" max="12066" width="19" style="497" customWidth="1"/>
    <col min="12067" max="12067" width="20.625" style="497" customWidth="1"/>
    <col min="12068" max="12073" width="10" style="497" customWidth="1"/>
    <col min="12074" max="12074" width="21" style="497" customWidth="1"/>
    <col min="12075" max="12085" width="6.375" style="497" customWidth="1"/>
    <col min="12086" max="12086" width="7" style="497" customWidth="1"/>
    <col min="12087" max="12092" width="2.375" style="497"/>
    <col min="12093" max="12093" width="13.625" style="497" customWidth="1"/>
    <col min="12094" max="12094" width="6.625" style="497" customWidth="1"/>
    <col min="12095" max="12095" width="32.25" style="497" customWidth="1"/>
    <col min="12096" max="12096" width="2.375" style="497"/>
    <col min="12097" max="12259" width="10" style="497" customWidth="1"/>
    <col min="12260" max="12265" width="2.375" style="497"/>
    <col min="12266" max="12266" width="21" style="497" customWidth="1"/>
    <col min="12267" max="12299" width="6.375" style="497" customWidth="1"/>
    <col min="12300" max="12300" width="10" style="497" customWidth="1"/>
    <col min="12301" max="12301" width="2.375" style="497"/>
    <col min="12302" max="12302" width="10" style="497" customWidth="1"/>
    <col min="12303" max="12303" width="23.625" style="497" customWidth="1"/>
    <col min="12304" max="12317" width="10" style="497" customWidth="1"/>
    <col min="12318" max="12318" width="13.625" style="497" customWidth="1"/>
    <col min="12319" max="12319" width="33.75" style="497" customWidth="1"/>
    <col min="12320" max="12320" width="24" style="497" customWidth="1"/>
    <col min="12321" max="12321" width="22" style="497" customWidth="1"/>
    <col min="12322" max="12322" width="19" style="497" customWidth="1"/>
    <col min="12323" max="12323" width="20.625" style="497" customWidth="1"/>
    <col min="12324" max="12329" width="10" style="497" customWidth="1"/>
    <col min="12330" max="12330" width="21" style="497" customWidth="1"/>
    <col min="12331" max="12341" width="6.375" style="497" customWidth="1"/>
    <col min="12342" max="12342" width="7" style="497" customWidth="1"/>
    <col min="12343" max="12348" width="2.375" style="497"/>
    <col min="12349" max="12349" width="13.625" style="497" customWidth="1"/>
    <col min="12350" max="12350" width="6.625" style="497" customWidth="1"/>
    <col min="12351" max="12351" width="32.25" style="497" customWidth="1"/>
    <col min="12352" max="12352" width="2.375" style="497"/>
    <col min="12353" max="12515" width="10" style="497" customWidth="1"/>
    <col min="12516" max="12521" width="2.375" style="497"/>
    <col min="12522" max="12522" width="21" style="497" customWidth="1"/>
    <col min="12523" max="12555" width="6.375" style="497" customWidth="1"/>
    <col min="12556" max="12556" width="10" style="497" customWidth="1"/>
    <col min="12557" max="12557" width="2.375" style="497"/>
    <col min="12558" max="12558" width="10" style="497" customWidth="1"/>
    <col min="12559" max="12559" width="23.625" style="497" customWidth="1"/>
    <col min="12560" max="12573" width="10" style="497" customWidth="1"/>
    <col min="12574" max="12574" width="13.625" style="497" customWidth="1"/>
    <col min="12575" max="12575" width="33.75" style="497" customWidth="1"/>
    <col min="12576" max="12576" width="24" style="497" customWidth="1"/>
    <col min="12577" max="12577" width="22" style="497" customWidth="1"/>
    <col min="12578" max="12578" width="19" style="497" customWidth="1"/>
    <col min="12579" max="12579" width="20.625" style="497" customWidth="1"/>
    <col min="12580" max="12585" width="10" style="497" customWidth="1"/>
    <col min="12586" max="12586" width="21" style="497" customWidth="1"/>
    <col min="12587" max="12597" width="6.375" style="497" customWidth="1"/>
    <col min="12598" max="12598" width="7" style="497" customWidth="1"/>
    <col min="12599" max="12604" width="2.375" style="497"/>
    <col min="12605" max="12605" width="13.625" style="497" customWidth="1"/>
    <col min="12606" max="12606" width="6.625" style="497" customWidth="1"/>
    <col min="12607" max="12607" width="32.25" style="497" customWidth="1"/>
    <col min="12608" max="12608" width="2.375" style="497"/>
    <col min="12609" max="12771" width="10" style="497" customWidth="1"/>
    <col min="12772" max="12777" width="2.375" style="497"/>
    <col min="12778" max="12778" width="21" style="497" customWidth="1"/>
    <col min="12779" max="12811" width="6.375" style="497" customWidth="1"/>
    <col min="12812" max="12812" width="10" style="497" customWidth="1"/>
    <col min="12813" max="12813" width="2.375" style="497"/>
    <col min="12814" max="12814" width="10" style="497" customWidth="1"/>
    <col min="12815" max="12815" width="23.625" style="497" customWidth="1"/>
    <col min="12816" max="12829" width="10" style="497" customWidth="1"/>
    <col min="12830" max="12830" width="13.625" style="497" customWidth="1"/>
    <col min="12831" max="12831" width="33.75" style="497" customWidth="1"/>
    <col min="12832" max="12832" width="24" style="497" customWidth="1"/>
    <col min="12833" max="12833" width="22" style="497" customWidth="1"/>
    <col min="12834" max="12834" width="19" style="497" customWidth="1"/>
    <col min="12835" max="12835" width="20.625" style="497" customWidth="1"/>
    <col min="12836" max="12841" width="10" style="497" customWidth="1"/>
    <col min="12842" max="12842" width="21" style="497" customWidth="1"/>
    <col min="12843" max="12853" width="6.375" style="497" customWidth="1"/>
    <col min="12854" max="12854" width="7" style="497" customWidth="1"/>
    <col min="12855" max="12860" width="2.375" style="497"/>
    <col min="12861" max="12861" width="13.625" style="497" customWidth="1"/>
    <col min="12862" max="12862" width="6.625" style="497" customWidth="1"/>
    <col min="12863" max="12863" width="32.25" style="497" customWidth="1"/>
    <col min="12864" max="12864" width="2.375" style="497"/>
    <col min="12865" max="13027" width="10" style="497" customWidth="1"/>
    <col min="13028" max="13033" width="2.375" style="497"/>
    <col min="13034" max="13034" width="21" style="497" customWidth="1"/>
    <col min="13035" max="13067" width="6.375" style="497" customWidth="1"/>
    <col min="13068" max="13068" width="10" style="497" customWidth="1"/>
    <col min="13069" max="13069" width="2.375" style="497"/>
    <col min="13070" max="13070" width="10" style="497" customWidth="1"/>
    <col min="13071" max="13071" width="23.625" style="497" customWidth="1"/>
    <col min="13072" max="13085" width="10" style="497" customWidth="1"/>
    <col min="13086" max="13086" width="13.625" style="497" customWidth="1"/>
    <col min="13087" max="13087" width="33.75" style="497" customWidth="1"/>
    <col min="13088" max="13088" width="24" style="497" customWidth="1"/>
    <col min="13089" max="13089" width="22" style="497" customWidth="1"/>
    <col min="13090" max="13090" width="19" style="497" customWidth="1"/>
    <col min="13091" max="13091" width="20.625" style="497" customWidth="1"/>
    <col min="13092" max="13097" width="10" style="497" customWidth="1"/>
    <col min="13098" max="13098" width="21" style="497" customWidth="1"/>
    <col min="13099" max="13109" width="6.375" style="497" customWidth="1"/>
    <col min="13110" max="13110" width="7" style="497" customWidth="1"/>
    <col min="13111" max="13116" width="2.375" style="497"/>
    <col min="13117" max="13117" width="13.625" style="497" customWidth="1"/>
    <col min="13118" max="13118" width="6.625" style="497" customWidth="1"/>
    <col min="13119" max="13119" width="32.25" style="497" customWidth="1"/>
    <col min="13120" max="13120" width="2.375" style="497"/>
    <col min="13121" max="13283" width="10" style="497" customWidth="1"/>
    <col min="13284" max="13289" width="2.375" style="497"/>
    <col min="13290" max="13290" width="21" style="497" customWidth="1"/>
    <col min="13291" max="13323" width="6.375" style="497" customWidth="1"/>
    <col min="13324" max="13324" width="10" style="497" customWidth="1"/>
    <col min="13325" max="13325" width="2.375" style="497"/>
    <col min="13326" max="13326" width="10" style="497" customWidth="1"/>
    <col min="13327" max="13327" width="23.625" style="497" customWidth="1"/>
    <col min="13328" max="13341" width="10" style="497" customWidth="1"/>
    <col min="13342" max="13342" width="13.625" style="497" customWidth="1"/>
    <col min="13343" max="13343" width="33.75" style="497" customWidth="1"/>
    <col min="13344" max="13344" width="24" style="497" customWidth="1"/>
    <col min="13345" max="13345" width="22" style="497" customWidth="1"/>
    <col min="13346" max="13346" width="19" style="497" customWidth="1"/>
    <col min="13347" max="13347" width="20.625" style="497" customWidth="1"/>
    <col min="13348" max="13353" width="10" style="497" customWidth="1"/>
    <col min="13354" max="13354" width="21" style="497" customWidth="1"/>
    <col min="13355" max="13365" width="6.375" style="497" customWidth="1"/>
    <col min="13366" max="13366" width="7" style="497" customWidth="1"/>
    <col min="13367" max="13372" width="2.375" style="497"/>
    <col min="13373" max="13373" width="13.625" style="497" customWidth="1"/>
    <col min="13374" max="13374" width="6.625" style="497" customWidth="1"/>
    <col min="13375" max="13375" width="32.25" style="497" customWidth="1"/>
    <col min="13376" max="13376" width="2.375" style="497"/>
    <col min="13377" max="13539" width="10" style="497" customWidth="1"/>
    <col min="13540" max="13545" width="2.375" style="497"/>
    <col min="13546" max="13546" width="21" style="497" customWidth="1"/>
    <col min="13547" max="13579" width="6.375" style="497" customWidth="1"/>
    <col min="13580" max="13580" width="10" style="497" customWidth="1"/>
    <col min="13581" max="13581" width="2.375" style="497"/>
    <col min="13582" max="13582" width="10" style="497" customWidth="1"/>
    <col min="13583" max="13583" width="23.625" style="497" customWidth="1"/>
    <col min="13584" max="13597" width="10" style="497" customWidth="1"/>
    <col min="13598" max="13598" width="13.625" style="497" customWidth="1"/>
    <col min="13599" max="13599" width="33.75" style="497" customWidth="1"/>
    <col min="13600" max="13600" width="24" style="497" customWidth="1"/>
    <col min="13601" max="13601" width="22" style="497" customWidth="1"/>
    <col min="13602" max="13602" width="19" style="497" customWidth="1"/>
    <col min="13603" max="13603" width="20.625" style="497" customWidth="1"/>
    <col min="13604" max="13609" width="10" style="497" customWidth="1"/>
    <col min="13610" max="13610" width="21" style="497" customWidth="1"/>
    <col min="13611" max="13621" width="6.375" style="497" customWidth="1"/>
    <col min="13622" max="13622" width="7" style="497" customWidth="1"/>
    <col min="13623" max="13628" width="2.375" style="497"/>
    <col min="13629" max="13629" width="13.625" style="497" customWidth="1"/>
    <col min="13630" max="13630" width="6.625" style="497" customWidth="1"/>
    <col min="13631" max="13631" width="32.25" style="497" customWidth="1"/>
    <col min="13632" max="13632" width="2.375" style="497"/>
    <col min="13633" max="13795" width="10" style="497" customWidth="1"/>
    <col min="13796" max="13801" width="2.375" style="497"/>
    <col min="13802" max="13802" width="21" style="497" customWidth="1"/>
    <col min="13803" max="13835" width="6.375" style="497" customWidth="1"/>
    <col min="13836" max="13836" width="10" style="497" customWidth="1"/>
    <col min="13837" max="13837" width="2.375" style="497"/>
    <col min="13838" max="13838" width="10" style="497" customWidth="1"/>
    <col min="13839" max="13839" width="23.625" style="497" customWidth="1"/>
    <col min="13840" max="13853" width="10" style="497" customWidth="1"/>
    <col min="13854" max="13854" width="13.625" style="497" customWidth="1"/>
    <col min="13855" max="13855" width="33.75" style="497" customWidth="1"/>
    <col min="13856" max="13856" width="24" style="497" customWidth="1"/>
    <col min="13857" max="13857" width="22" style="497" customWidth="1"/>
    <col min="13858" max="13858" width="19" style="497" customWidth="1"/>
    <col min="13859" max="13859" width="20.625" style="497" customWidth="1"/>
    <col min="13860" max="13865" width="10" style="497" customWidth="1"/>
    <col min="13866" max="13866" width="21" style="497" customWidth="1"/>
    <col min="13867" max="13877" width="6.375" style="497" customWidth="1"/>
    <col min="13878" max="13878" width="7" style="497" customWidth="1"/>
    <col min="13879" max="13884" width="2.375" style="497"/>
    <col min="13885" max="13885" width="13.625" style="497" customWidth="1"/>
    <col min="13886" max="13886" width="6.625" style="497" customWidth="1"/>
    <col min="13887" max="13887" width="32.25" style="497" customWidth="1"/>
    <col min="13888" max="13888" width="2.375" style="497"/>
    <col min="13889" max="14051" width="10" style="497" customWidth="1"/>
    <col min="14052" max="14057" width="2.375" style="497"/>
    <col min="14058" max="14058" width="21" style="497" customWidth="1"/>
    <col min="14059" max="14091" width="6.375" style="497" customWidth="1"/>
    <col min="14092" max="14092" width="10" style="497" customWidth="1"/>
    <col min="14093" max="14093" width="2.375" style="497"/>
    <col min="14094" max="14094" width="10" style="497" customWidth="1"/>
    <col min="14095" max="14095" width="23.625" style="497" customWidth="1"/>
    <col min="14096" max="14109" width="10" style="497" customWidth="1"/>
    <col min="14110" max="14110" width="13.625" style="497" customWidth="1"/>
    <col min="14111" max="14111" width="33.75" style="497" customWidth="1"/>
    <col min="14112" max="14112" width="24" style="497" customWidth="1"/>
    <col min="14113" max="14113" width="22" style="497" customWidth="1"/>
    <col min="14114" max="14114" width="19" style="497" customWidth="1"/>
    <col min="14115" max="14115" width="20.625" style="497" customWidth="1"/>
    <col min="14116" max="14121" width="10" style="497" customWidth="1"/>
    <col min="14122" max="14122" width="21" style="497" customWidth="1"/>
    <col min="14123" max="14133" width="6.375" style="497" customWidth="1"/>
    <col min="14134" max="14134" width="7" style="497" customWidth="1"/>
    <col min="14135" max="14140" width="2.375" style="497"/>
    <col min="14141" max="14141" width="13.625" style="497" customWidth="1"/>
    <col min="14142" max="14142" width="6.625" style="497" customWidth="1"/>
    <col min="14143" max="14143" width="32.25" style="497" customWidth="1"/>
    <col min="14144" max="14144" width="2.375" style="497"/>
    <col min="14145" max="14307" width="10" style="497" customWidth="1"/>
    <col min="14308" max="14313" width="2.375" style="497"/>
    <col min="14314" max="14314" width="21" style="497" customWidth="1"/>
    <col min="14315" max="14347" width="6.375" style="497" customWidth="1"/>
    <col min="14348" max="14348" width="10" style="497" customWidth="1"/>
    <col min="14349" max="14349" width="2.375" style="497"/>
    <col min="14350" max="14350" width="10" style="497" customWidth="1"/>
    <col min="14351" max="14351" width="23.625" style="497" customWidth="1"/>
    <col min="14352" max="14365" width="10" style="497" customWidth="1"/>
    <col min="14366" max="14366" width="13.625" style="497" customWidth="1"/>
    <col min="14367" max="14367" width="33.75" style="497" customWidth="1"/>
    <col min="14368" max="14368" width="24" style="497" customWidth="1"/>
    <col min="14369" max="14369" width="22" style="497" customWidth="1"/>
    <col min="14370" max="14370" width="19" style="497" customWidth="1"/>
    <col min="14371" max="14371" width="20.625" style="497" customWidth="1"/>
    <col min="14372" max="14377" width="10" style="497" customWidth="1"/>
    <col min="14378" max="14378" width="21" style="497" customWidth="1"/>
    <col min="14379" max="14389" width="6.375" style="497" customWidth="1"/>
    <col min="14390" max="14390" width="7" style="497" customWidth="1"/>
    <col min="14391" max="14396" width="2.375" style="497"/>
    <col min="14397" max="14397" width="13.625" style="497" customWidth="1"/>
    <col min="14398" max="14398" width="6.625" style="497" customWidth="1"/>
    <col min="14399" max="14399" width="32.25" style="497" customWidth="1"/>
    <col min="14400" max="14400" width="2.375" style="497"/>
    <col min="14401" max="14563" width="10" style="497" customWidth="1"/>
    <col min="14564" max="14569" width="2.375" style="497"/>
    <col min="14570" max="14570" width="21" style="497" customWidth="1"/>
    <col min="14571" max="14603" width="6.375" style="497" customWidth="1"/>
    <col min="14604" max="14604" width="10" style="497" customWidth="1"/>
    <col min="14605" max="14605" width="2.375" style="497"/>
    <col min="14606" max="14606" width="10" style="497" customWidth="1"/>
    <col min="14607" max="14607" width="23.625" style="497" customWidth="1"/>
    <col min="14608" max="14621" width="10" style="497" customWidth="1"/>
    <col min="14622" max="14622" width="13.625" style="497" customWidth="1"/>
    <col min="14623" max="14623" width="33.75" style="497" customWidth="1"/>
    <col min="14624" max="14624" width="24" style="497" customWidth="1"/>
    <col min="14625" max="14625" width="22" style="497" customWidth="1"/>
    <col min="14626" max="14626" width="19" style="497" customWidth="1"/>
    <col min="14627" max="14627" width="20.625" style="497" customWidth="1"/>
    <col min="14628" max="14633" width="10" style="497" customWidth="1"/>
    <col min="14634" max="14634" width="21" style="497" customWidth="1"/>
    <col min="14635" max="14645" width="6.375" style="497" customWidth="1"/>
    <col min="14646" max="14646" width="7" style="497" customWidth="1"/>
    <col min="14647" max="14652" width="2.375" style="497"/>
    <col min="14653" max="14653" width="13.625" style="497" customWidth="1"/>
    <col min="14654" max="14654" width="6.625" style="497" customWidth="1"/>
    <col min="14655" max="14655" width="32.25" style="497" customWidth="1"/>
    <col min="14656" max="14656" width="2.375" style="497"/>
    <col min="14657" max="14819" width="10" style="497" customWidth="1"/>
    <col min="14820" max="14825" width="2.375" style="497"/>
    <col min="14826" max="14826" width="21" style="497" customWidth="1"/>
    <col min="14827" max="14859" width="6.375" style="497" customWidth="1"/>
    <col min="14860" max="14860" width="10" style="497" customWidth="1"/>
    <col min="14861" max="14861" width="2.375" style="497"/>
    <col min="14862" max="14862" width="10" style="497" customWidth="1"/>
    <col min="14863" max="14863" width="23.625" style="497" customWidth="1"/>
    <col min="14864" max="14877" width="10" style="497" customWidth="1"/>
    <col min="14878" max="14878" width="13.625" style="497" customWidth="1"/>
    <col min="14879" max="14879" width="33.75" style="497" customWidth="1"/>
    <col min="14880" max="14880" width="24" style="497" customWidth="1"/>
    <col min="14881" max="14881" width="22" style="497" customWidth="1"/>
    <col min="14882" max="14882" width="19" style="497" customWidth="1"/>
    <col min="14883" max="14883" width="20.625" style="497" customWidth="1"/>
    <col min="14884" max="14889" width="10" style="497" customWidth="1"/>
    <col min="14890" max="14890" width="21" style="497" customWidth="1"/>
    <col min="14891" max="14901" width="6.375" style="497" customWidth="1"/>
    <col min="14902" max="14902" width="7" style="497" customWidth="1"/>
    <col min="14903" max="14908" width="2.375" style="497"/>
    <col min="14909" max="14909" width="13.625" style="497" customWidth="1"/>
    <col min="14910" max="14910" width="6.625" style="497" customWidth="1"/>
    <col min="14911" max="14911" width="32.25" style="497" customWidth="1"/>
    <col min="14912" max="14912" width="2.375" style="497"/>
    <col min="14913" max="15075" width="10" style="497" customWidth="1"/>
    <col min="15076" max="15081" width="2.375" style="497"/>
    <col min="15082" max="15082" width="21" style="497" customWidth="1"/>
    <col min="15083" max="15115" width="6.375" style="497" customWidth="1"/>
    <col min="15116" max="15116" width="10" style="497" customWidth="1"/>
    <col min="15117" max="15117" width="2.375" style="497"/>
    <col min="15118" max="15118" width="10" style="497" customWidth="1"/>
    <col min="15119" max="15119" width="23.625" style="497" customWidth="1"/>
    <col min="15120" max="15133" width="10" style="497" customWidth="1"/>
    <col min="15134" max="15134" width="13.625" style="497" customWidth="1"/>
    <col min="15135" max="15135" width="33.75" style="497" customWidth="1"/>
    <col min="15136" max="15136" width="24" style="497" customWidth="1"/>
    <col min="15137" max="15137" width="22" style="497" customWidth="1"/>
    <col min="15138" max="15138" width="19" style="497" customWidth="1"/>
    <col min="15139" max="15139" width="20.625" style="497" customWidth="1"/>
    <col min="15140" max="15145" width="10" style="497" customWidth="1"/>
    <col min="15146" max="15146" width="21" style="497" customWidth="1"/>
    <col min="15147" max="15157" width="6.375" style="497" customWidth="1"/>
    <col min="15158" max="15158" width="7" style="497" customWidth="1"/>
    <col min="15159" max="15164" width="2.375" style="497"/>
    <col min="15165" max="15165" width="13.625" style="497" customWidth="1"/>
    <col min="15166" max="15166" width="6.625" style="497" customWidth="1"/>
    <col min="15167" max="15167" width="32.25" style="497" customWidth="1"/>
    <col min="15168" max="15168" width="2.375" style="497"/>
    <col min="15169" max="15331" width="10" style="497" customWidth="1"/>
    <col min="15332" max="15337" width="2.375" style="497"/>
    <col min="15338" max="15338" width="21" style="497" customWidth="1"/>
    <col min="15339" max="15371" width="6.375" style="497" customWidth="1"/>
    <col min="15372" max="15372" width="10" style="497" customWidth="1"/>
    <col min="15373" max="15373" width="2.375" style="497"/>
    <col min="15374" max="15374" width="10" style="497" customWidth="1"/>
    <col min="15375" max="15375" width="23.625" style="497" customWidth="1"/>
    <col min="15376" max="15389" width="10" style="497" customWidth="1"/>
    <col min="15390" max="15390" width="13.625" style="497" customWidth="1"/>
    <col min="15391" max="15391" width="33.75" style="497" customWidth="1"/>
    <col min="15392" max="15392" width="24" style="497" customWidth="1"/>
    <col min="15393" max="15393" width="22" style="497" customWidth="1"/>
    <col min="15394" max="15394" width="19" style="497" customWidth="1"/>
    <col min="15395" max="15395" width="20.625" style="497" customWidth="1"/>
    <col min="15396" max="15401" width="10" style="497" customWidth="1"/>
    <col min="15402" max="15402" width="21" style="497" customWidth="1"/>
    <col min="15403" max="15413" width="6.375" style="497" customWidth="1"/>
    <col min="15414" max="15414" width="7" style="497" customWidth="1"/>
    <col min="15415" max="15420" width="2.375" style="497"/>
    <col min="15421" max="15421" width="13.625" style="497" customWidth="1"/>
    <col min="15422" max="15422" width="6.625" style="497" customWidth="1"/>
    <col min="15423" max="15423" width="32.25" style="497" customWidth="1"/>
    <col min="15424" max="15424" width="2.375" style="497"/>
    <col min="15425" max="15587" width="10" style="497" customWidth="1"/>
    <col min="15588" max="15593" width="2.375" style="497"/>
    <col min="15594" max="15594" width="21" style="497" customWidth="1"/>
    <col min="15595" max="15627" width="6.375" style="497" customWidth="1"/>
    <col min="15628" max="15628" width="10" style="497" customWidth="1"/>
    <col min="15629" max="15629" width="2.375" style="497"/>
    <col min="15630" max="15630" width="10" style="497" customWidth="1"/>
    <col min="15631" max="15631" width="23.625" style="497" customWidth="1"/>
    <col min="15632" max="15645" width="10" style="497" customWidth="1"/>
    <col min="15646" max="15646" width="13.625" style="497" customWidth="1"/>
    <col min="15647" max="15647" width="33.75" style="497" customWidth="1"/>
    <col min="15648" max="15648" width="24" style="497" customWidth="1"/>
    <col min="15649" max="15649" width="22" style="497" customWidth="1"/>
    <col min="15650" max="15650" width="19" style="497" customWidth="1"/>
    <col min="15651" max="15651" width="20.625" style="497" customWidth="1"/>
    <col min="15652" max="15657" width="10" style="497" customWidth="1"/>
    <col min="15658" max="15658" width="21" style="497" customWidth="1"/>
    <col min="15659" max="15669" width="6.375" style="497" customWidth="1"/>
    <col min="15670" max="15670" width="7" style="497" customWidth="1"/>
    <col min="15671" max="15676" width="2.375" style="497"/>
    <col min="15677" max="15677" width="13.625" style="497" customWidth="1"/>
    <col min="15678" max="15678" width="6.625" style="497" customWidth="1"/>
    <col min="15679" max="15679" width="32.25" style="497" customWidth="1"/>
    <col min="15680" max="15680" width="2.375" style="497"/>
    <col min="15681" max="15843" width="10" style="497" customWidth="1"/>
    <col min="15844" max="15849" width="2.375" style="497"/>
    <col min="15850" max="15850" width="21" style="497" customWidth="1"/>
    <col min="15851" max="15883" width="6.375" style="497" customWidth="1"/>
    <col min="15884" max="15884" width="10" style="497" customWidth="1"/>
    <col min="15885" max="15885" width="2.375" style="497"/>
    <col min="15886" max="15886" width="10" style="497" customWidth="1"/>
    <col min="15887" max="15887" width="23.625" style="497" customWidth="1"/>
    <col min="15888" max="15901" width="10" style="497" customWidth="1"/>
    <col min="15902" max="15902" width="13.625" style="497" customWidth="1"/>
    <col min="15903" max="15903" width="33.75" style="497" customWidth="1"/>
    <col min="15904" max="15904" width="24" style="497" customWidth="1"/>
    <col min="15905" max="15905" width="22" style="497" customWidth="1"/>
    <col min="15906" max="15906" width="19" style="497" customWidth="1"/>
    <col min="15907" max="15907" width="20.625" style="497" customWidth="1"/>
    <col min="15908" max="15913" width="10" style="497" customWidth="1"/>
    <col min="15914" max="15914" width="21" style="497" customWidth="1"/>
    <col min="15915" max="15925" width="6.375" style="497" customWidth="1"/>
    <col min="15926" max="15926" width="7" style="497" customWidth="1"/>
    <col min="15927" max="15932" width="2.375" style="497"/>
    <col min="15933" max="15933" width="13.625" style="497" customWidth="1"/>
    <col min="15934" max="15934" width="6.625" style="497" customWidth="1"/>
    <col min="15935" max="15935" width="32.25" style="497" customWidth="1"/>
    <col min="15936" max="15936" width="2.375" style="497"/>
    <col min="15937" max="16099" width="10" style="497" customWidth="1"/>
    <col min="16100" max="16105" width="2.375" style="497"/>
    <col min="16106" max="16106" width="21" style="497" customWidth="1"/>
    <col min="16107" max="16139" width="6.375" style="497" customWidth="1"/>
    <col min="16140" max="16140" width="10" style="497" customWidth="1"/>
    <col min="16141" max="16141" width="2.375" style="497"/>
    <col min="16142" max="16142" width="10" style="497" customWidth="1"/>
    <col min="16143" max="16143" width="23.625" style="497" customWidth="1"/>
    <col min="16144" max="16157" width="10" style="497" customWidth="1"/>
    <col min="16158" max="16158" width="13.625" style="497" customWidth="1"/>
    <col min="16159" max="16159" width="33.75" style="497" customWidth="1"/>
    <col min="16160" max="16160" width="24" style="497" customWidth="1"/>
    <col min="16161" max="16161" width="22" style="497" customWidth="1"/>
    <col min="16162" max="16162" width="19" style="497" customWidth="1"/>
    <col min="16163" max="16163" width="20.625" style="497" customWidth="1"/>
    <col min="16164" max="16169" width="10" style="497" customWidth="1"/>
    <col min="16170" max="16170" width="21" style="497" customWidth="1"/>
    <col min="16171" max="16181" width="6.375" style="497" customWidth="1"/>
    <col min="16182" max="16182" width="7" style="497" customWidth="1"/>
    <col min="16183" max="16188" width="2.375" style="497"/>
    <col min="16189" max="16189" width="13.625" style="497" customWidth="1"/>
    <col min="16190" max="16190" width="6.625" style="497" customWidth="1"/>
    <col min="16191" max="16191" width="32.25" style="497" customWidth="1"/>
    <col min="16192" max="16192" width="2.375" style="497"/>
    <col min="16193" max="16355" width="10" style="497" customWidth="1"/>
    <col min="16356" max="16384" width="2.375" style="497"/>
  </cols>
  <sheetData>
    <row r="1" spans="2:91" s="488" customFormat="1" ht="21" customHeight="1" x14ac:dyDescent="0.25">
      <c r="B1" s="1181" t="s">
        <v>680</v>
      </c>
      <c r="C1" s="1182"/>
      <c r="D1" s="1182"/>
      <c r="E1" s="1182"/>
      <c r="F1" s="1182"/>
      <c r="G1" s="1182"/>
      <c r="H1" s="1182"/>
      <c r="I1" s="1182"/>
      <c r="J1" s="1182"/>
      <c r="K1" s="1182"/>
      <c r="L1" s="1182"/>
      <c r="M1" s="1182"/>
      <c r="N1" s="1182"/>
      <c r="O1" s="1182"/>
      <c r="P1" s="1182"/>
      <c r="Q1" s="1182"/>
      <c r="R1" s="1182"/>
      <c r="S1" s="1182"/>
      <c r="T1" s="1182"/>
      <c r="U1" s="1182"/>
      <c r="V1" s="1183"/>
      <c r="W1" s="1183"/>
      <c r="X1" s="1183"/>
      <c r="Y1" s="1183"/>
      <c r="Z1" s="1183"/>
      <c r="AA1" s="1183"/>
      <c r="AB1" s="1183"/>
      <c r="AC1" s="1183"/>
      <c r="AD1" s="1183"/>
      <c r="AE1" s="1183"/>
      <c r="AF1" s="1183"/>
      <c r="AG1" s="1183"/>
      <c r="AH1" s="1183"/>
      <c r="AI1" s="1183"/>
      <c r="AJ1" s="1184"/>
      <c r="AK1" s="565"/>
      <c r="AL1" s="726" t="s">
        <v>1031</v>
      </c>
      <c r="AM1" s="735"/>
      <c r="AN1" s="735"/>
      <c r="AO1" s="735"/>
      <c r="AP1" s="735"/>
      <c r="AQ1" s="735"/>
      <c r="AR1" s="735"/>
      <c r="AS1" s="386"/>
      <c r="AT1" s="386"/>
      <c r="AU1" s="386"/>
      <c r="AV1" s="386"/>
      <c r="AW1" s="565"/>
      <c r="AX1" s="565"/>
      <c r="AY1" s="565"/>
      <c r="AZ1" s="565"/>
      <c r="BA1" s="565"/>
      <c r="BB1" s="565"/>
      <c r="BC1" s="565"/>
      <c r="BD1" s="565"/>
      <c r="BE1" s="565"/>
      <c r="BF1" s="565"/>
      <c r="BG1" s="565"/>
      <c r="BH1" s="565"/>
      <c r="BI1" s="565"/>
      <c r="BJ1" s="1560" t="s">
        <v>149</v>
      </c>
      <c r="BK1" s="1560"/>
      <c r="BL1" s="1560"/>
      <c r="BM1" s="1560"/>
      <c r="BN1" s="1560"/>
      <c r="BO1" s="1560"/>
      <c r="BP1" s="1560"/>
      <c r="BQ1" s="1560"/>
      <c r="BR1" s="1560"/>
      <c r="BS1" s="1562" t="s">
        <v>57</v>
      </c>
      <c r="BT1" s="1562"/>
      <c r="BU1" s="1564">
        <f ca="1">NOW()</f>
        <v>44232.80612465278</v>
      </c>
      <c r="BX1" s="1566" t="s">
        <v>680</v>
      </c>
      <c r="BY1" s="1567"/>
      <c r="BZ1" s="1567"/>
      <c r="CA1" s="1567"/>
      <c r="CB1" s="1567"/>
      <c r="CC1" s="1567"/>
      <c r="CD1" s="1567"/>
      <c r="CE1" s="1567"/>
      <c r="CF1" s="1567"/>
      <c r="CG1" s="1567"/>
      <c r="CH1" s="1567"/>
      <c r="CI1" s="1567"/>
      <c r="CJ1" s="1567"/>
      <c r="CK1" s="1567"/>
      <c r="CL1" s="1567"/>
      <c r="CM1" s="1568"/>
    </row>
    <row r="2" spans="2:91" s="488" customFormat="1" ht="9.9499999999999993" customHeight="1" x14ac:dyDescent="0.2">
      <c r="B2" s="1569" t="s">
        <v>708</v>
      </c>
      <c r="C2" s="1570" t="str">
        <f ca="1">CELL("nomfichier")</f>
        <v>E:\UPRT a faire\so-plannings.copie\[calendrier.Pascal.Grandet.xlsx]Calendrier.Pascal.Grandet</v>
      </c>
      <c r="D2" s="1570"/>
      <c r="E2" s="1570"/>
      <c r="F2" s="1570"/>
      <c r="G2" s="1570"/>
      <c r="H2" s="1570"/>
      <c r="I2" s="1570"/>
      <c r="J2" s="1570"/>
      <c r="K2" s="1570"/>
      <c r="L2" s="1570"/>
      <c r="M2" s="1570"/>
      <c r="N2" s="1570"/>
      <c r="O2" s="1570"/>
      <c r="P2" s="1570"/>
      <c r="Q2" s="1570"/>
      <c r="R2" s="1570"/>
      <c r="S2" s="1571"/>
      <c r="T2" s="489" t="s">
        <v>507</v>
      </c>
      <c r="U2" s="490"/>
      <c r="V2" s="1256"/>
      <c r="W2" s="1256"/>
      <c r="X2" s="1256"/>
      <c r="Y2" s="1256"/>
      <c r="Z2" s="1574" t="s">
        <v>775</v>
      </c>
      <c r="AA2" s="1574"/>
      <c r="AB2" s="1574"/>
      <c r="AC2" s="1574"/>
      <c r="AD2" s="1574"/>
      <c r="AE2" s="1574"/>
      <c r="AF2" s="1574"/>
      <c r="AG2" s="1574"/>
      <c r="AH2" s="1574"/>
      <c r="AI2" s="1574"/>
      <c r="AJ2" s="1575"/>
      <c r="AK2" s="565"/>
      <c r="AL2" s="735"/>
      <c r="AM2" s="735"/>
      <c r="AN2" s="735"/>
      <c r="AO2" s="735"/>
      <c r="AP2" s="735"/>
      <c r="AQ2" s="735"/>
      <c r="AR2" s="735"/>
      <c r="AS2" s="571"/>
      <c r="AT2" s="571"/>
      <c r="AU2" s="571"/>
      <c r="AV2" s="571"/>
      <c r="AW2" s="565"/>
      <c r="AX2" s="565"/>
      <c r="AY2" s="565"/>
      <c r="AZ2" s="565"/>
      <c r="BA2" s="565"/>
      <c r="BB2" s="565"/>
      <c r="BC2" s="565"/>
      <c r="BD2" s="565"/>
      <c r="BE2" s="565"/>
      <c r="BF2" s="565"/>
      <c r="BG2" s="565"/>
      <c r="BH2" s="565"/>
      <c r="BI2" s="565"/>
      <c r="BJ2" s="1561"/>
      <c r="BK2" s="1561"/>
      <c r="BL2" s="1561"/>
      <c r="BM2" s="1561"/>
      <c r="BN2" s="1561"/>
      <c r="BO2" s="1561"/>
      <c r="BP2" s="1561"/>
      <c r="BQ2" s="1561"/>
      <c r="BR2" s="1561"/>
      <c r="BS2" s="1563"/>
      <c r="BT2" s="1563"/>
      <c r="BU2" s="1565"/>
      <c r="BX2" s="274" t="s">
        <v>506</v>
      </c>
      <c r="BY2" s="275"/>
      <c r="BZ2" s="1576" t="s">
        <v>650</v>
      </c>
      <c r="CA2" s="1576"/>
      <c r="CB2" s="1576"/>
      <c r="CC2" s="1576"/>
      <c r="CD2" s="1577"/>
      <c r="CE2" s="276" t="s">
        <v>507</v>
      </c>
      <c r="CF2" s="277"/>
      <c r="CG2" s="1256"/>
      <c r="CH2" s="1576" t="s">
        <v>683</v>
      </c>
      <c r="CI2" s="1576"/>
      <c r="CJ2" s="1576"/>
      <c r="CK2" s="1576"/>
      <c r="CL2" s="1576"/>
      <c r="CM2" s="1579"/>
    </row>
    <row r="3" spans="2:91" s="488" customFormat="1" ht="9.9499999999999993" customHeight="1" x14ac:dyDescent="0.25">
      <c r="B3" s="1548"/>
      <c r="C3" s="1572"/>
      <c r="D3" s="1572"/>
      <c r="E3" s="1572"/>
      <c r="F3" s="1572"/>
      <c r="G3" s="1572"/>
      <c r="H3" s="1572"/>
      <c r="I3" s="1572"/>
      <c r="J3" s="1572"/>
      <c r="K3" s="1572"/>
      <c r="L3" s="1572"/>
      <c r="M3" s="1572"/>
      <c r="N3" s="1572"/>
      <c r="O3" s="1572"/>
      <c r="P3" s="1572"/>
      <c r="Q3" s="1572"/>
      <c r="R3" s="1572"/>
      <c r="S3" s="1573"/>
      <c r="T3" s="491" t="s">
        <v>508</v>
      </c>
      <c r="U3" s="492"/>
      <c r="V3" s="1254"/>
      <c r="W3" s="1254"/>
      <c r="X3" s="1254"/>
      <c r="Y3" s="1254"/>
      <c r="Z3" s="1536"/>
      <c r="AA3" s="1536"/>
      <c r="AB3" s="1536"/>
      <c r="AC3" s="1536"/>
      <c r="AD3" s="1536"/>
      <c r="AE3" s="1536"/>
      <c r="AF3" s="1536"/>
      <c r="AG3" s="1536"/>
      <c r="AH3" s="1536"/>
      <c r="AI3" s="1536"/>
      <c r="AJ3" s="1551"/>
      <c r="AK3" s="565"/>
      <c r="AL3" s="1580" t="s">
        <v>777</v>
      </c>
      <c r="AM3" s="1580"/>
      <c r="AN3" s="1580"/>
      <c r="AO3" s="1580"/>
      <c r="AP3" s="1580"/>
      <c r="AQ3" s="1580"/>
      <c r="AR3" s="1580"/>
      <c r="AS3" s="571"/>
      <c r="AT3" s="571"/>
      <c r="AU3" s="571"/>
      <c r="AV3" s="571"/>
      <c r="AW3" s="565"/>
      <c r="AX3" s="565"/>
      <c r="AY3" s="565"/>
      <c r="AZ3" s="565"/>
      <c r="BA3" s="565"/>
      <c r="BB3" s="565"/>
      <c r="BC3" s="565"/>
      <c r="BD3" s="565"/>
      <c r="BE3" s="565"/>
      <c r="BF3" s="565"/>
      <c r="BG3" s="565"/>
      <c r="BH3" s="565"/>
      <c r="BI3" s="565"/>
      <c r="BJ3" s="47"/>
      <c r="BK3" s="47"/>
      <c r="BL3" s="47"/>
      <c r="BM3" s="47"/>
      <c r="BN3" s="47"/>
      <c r="BO3" s="48"/>
      <c r="BP3" s="48"/>
      <c r="BQ3" s="48"/>
      <c r="BR3" s="56"/>
      <c r="BS3" s="580"/>
      <c r="BT3" s="580"/>
      <c r="BU3" s="56"/>
      <c r="BX3" s="278"/>
      <c r="BY3" s="279"/>
      <c r="BZ3" s="1578"/>
      <c r="CA3" s="1578"/>
      <c r="CB3" s="1578"/>
      <c r="CC3" s="1578"/>
      <c r="CD3" s="1553"/>
      <c r="CE3" s="280" t="s">
        <v>508</v>
      </c>
      <c r="CF3" s="281"/>
      <c r="CG3" s="1254"/>
      <c r="CH3" s="1578"/>
      <c r="CI3" s="1578"/>
      <c r="CJ3" s="1578"/>
      <c r="CK3" s="1578"/>
      <c r="CL3" s="1578"/>
      <c r="CM3" s="1537"/>
    </row>
    <row r="4" spans="2:91" s="488" customFormat="1" ht="9.9499999999999993" customHeight="1" x14ac:dyDescent="0.25">
      <c r="B4" s="1548" t="s">
        <v>709</v>
      </c>
      <c r="C4" s="1581" t="s">
        <v>776</v>
      </c>
      <c r="D4" s="1581"/>
      <c r="E4" s="1581"/>
      <c r="F4" s="1581"/>
      <c r="G4" s="1581"/>
      <c r="H4" s="1581"/>
      <c r="I4" s="1581"/>
      <c r="J4" s="1581"/>
      <c r="K4" s="1581"/>
      <c r="L4" s="1581"/>
      <c r="M4" s="1581"/>
      <c r="N4" s="1581"/>
      <c r="O4" s="1581"/>
      <c r="P4" s="1581"/>
      <c r="Q4" s="1581"/>
      <c r="R4" s="1581"/>
      <c r="S4" s="1582"/>
      <c r="T4" s="491" t="s">
        <v>652</v>
      </c>
      <c r="U4" s="492"/>
      <c r="V4" s="1257"/>
      <c r="W4" s="1257"/>
      <c r="X4" s="1257"/>
      <c r="Y4" s="1257"/>
      <c r="Z4" s="1583" t="s">
        <v>710</v>
      </c>
      <c r="AA4" s="1583"/>
      <c r="AB4" s="1583"/>
      <c r="AC4" s="1583"/>
      <c r="AD4" s="1583"/>
      <c r="AE4" s="1583"/>
      <c r="AF4" s="1583"/>
      <c r="AG4" s="1583"/>
      <c r="AH4" s="1583"/>
      <c r="AI4" s="1583"/>
      <c r="AJ4" s="1584"/>
      <c r="AK4" s="565"/>
      <c r="AL4" s="1580"/>
      <c r="AM4" s="1580"/>
      <c r="AN4" s="1580"/>
      <c r="AO4" s="1580"/>
      <c r="AP4" s="1580"/>
      <c r="AQ4" s="1580"/>
      <c r="AR4" s="1580"/>
      <c r="AS4" s="387"/>
      <c r="AT4" s="387"/>
      <c r="AU4" s="387"/>
      <c r="AV4" s="387"/>
      <c r="AW4" s="565"/>
      <c r="AX4" s="565"/>
      <c r="AY4" s="565"/>
      <c r="AZ4" s="565"/>
      <c r="BA4" s="565"/>
      <c r="BB4" s="565"/>
      <c r="BC4" s="565"/>
      <c r="BD4" s="565"/>
      <c r="BE4" s="565"/>
      <c r="BF4" s="565"/>
      <c r="BG4" s="565"/>
      <c r="BH4" s="565"/>
      <c r="BI4" s="565"/>
      <c r="BJ4" s="565"/>
      <c r="BK4" s="565"/>
      <c r="BL4" s="565"/>
      <c r="BM4" s="565"/>
      <c r="BN4" s="565"/>
      <c r="BO4" s="565"/>
      <c r="BP4" s="565"/>
      <c r="BQ4" s="565"/>
      <c r="BR4" s="565"/>
      <c r="BS4" s="565"/>
      <c r="BT4" s="565"/>
      <c r="BU4" s="565"/>
      <c r="BX4" s="278" t="s">
        <v>651</v>
      </c>
      <c r="BY4" s="279"/>
      <c r="BZ4" s="1536" t="s">
        <v>681</v>
      </c>
      <c r="CA4" s="1536"/>
      <c r="CB4" s="1536"/>
      <c r="CC4" s="1536"/>
      <c r="CD4" s="1553"/>
      <c r="CE4" s="280" t="s">
        <v>652</v>
      </c>
      <c r="CF4" s="281"/>
      <c r="CG4" s="1254"/>
      <c r="CH4" s="1536" t="s">
        <v>653</v>
      </c>
      <c r="CI4" s="1536"/>
      <c r="CJ4" s="1536"/>
      <c r="CK4" s="1536"/>
      <c r="CL4" s="1536"/>
      <c r="CM4" s="1537"/>
    </row>
    <row r="5" spans="2:91" s="488" customFormat="1" ht="9.9499999999999993" customHeight="1" x14ac:dyDescent="0.25">
      <c r="B5" s="1548"/>
      <c r="C5" s="1581"/>
      <c r="D5" s="1581"/>
      <c r="E5" s="1581"/>
      <c r="F5" s="1581"/>
      <c r="G5" s="1581"/>
      <c r="H5" s="1581"/>
      <c r="I5" s="1581"/>
      <c r="J5" s="1581"/>
      <c r="K5" s="1581"/>
      <c r="L5" s="1581"/>
      <c r="M5" s="1581"/>
      <c r="N5" s="1581"/>
      <c r="O5" s="1581"/>
      <c r="P5" s="1581"/>
      <c r="Q5" s="1581"/>
      <c r="R5" s="1581"/>
      <c r="S5" s="1582"/>
      <c r="T5" s="491" t="s">
        <v>654</v>
      </c>
      <c r="U5" s="492"/>
      <c r="V5" s="1257"/>
      <c r="W5" s="1257"/>
      <c r="X5" s="1257"/>
      <c r="Y5" s="1257"/>
      <c r="Z5" s="1583"/>
      <c r="AA5" s="1583"/>
      <c r="AB5" s="1583"/>
      <c r="AC5" s="1583"/>
      <c r="AD5" s="1583"/>
      <c r="AE5" s="1583"/>
      <c r="AF5" s="1583"/>
      <c r="AG5" s="1583"/>
      <c r="AH5" s="1583"/>
      <c r="AI5" s="1583"/>
      <c r="AJ5" s="1584"/>
      <c r="AK5" s="565"/>
      <c r="AL5" s="1580"/>
      <c r="AM5" s="1580"/>
      <c r="AN5" s="1580"/>
      <c r="AO5" s="1580"/>
      <c r="AP5" s="1580"/>
      <c r="AQ5" s="1580"/>
      <c r="AR5" s="1580"/>
      <c r="AS5" s="387"/>
      <c r="AT5" s="387"/>
      <c r="AU5" s="387"/>
      <c r="AV5" s="387"/>
      <c r="AW5" s="565"/>
      <c r="AX5" s="565"/>
      <c r="AY5" s="565"/>
      <c r="AZ5" s="565"/>
      <c r="BA5" s="565"/>
      <c r="BB5" s="565"/>
      <c r="BC5" s="565"/>
      <c r="BD5" s="565"/>
      <c r="BE5" s="565"/>
      <c r="BF5" s="565"/>
      <c r="BG5" s="565"/>
      <c r="BH5" s="565"/>
      <c r="BI5" s="565"/>
      <c r="BJ5" s="565"/>
      <c r="BK5" s="67" t="s">
        <v>58</v>
      </c>
      <c r="BL5" s="68"/>
      <c r="BM5" s="68"/>
      <c r="BN5" s="68"/>
      <c r="BO5" s="68"/>
      <c r="BP5" s="68"/>
      <c r="BQ5" s="68"/>
      <c r="BR5" s="56"/>
      <c r="BS5" s="56"/>
      <c r="BT5" s="56"/>
      <c r="BU5" s="56"/>
      <c r="BX5" s="278"/>
      <c r="BY5" s="279"/>
      <c r="BZ5" s="1536"/>
      <c r="CA5" s="1536"/>
      <c r="CB5" s="1536"/>
      <c r="CC5" s="1536"/>
      <c r="CD5" s="1553"/>
      <c r="CE5" s="280" t="s">
        <v>654</v>
      </c>
      <c r="CF5" s="281"/>
      <c r="CG5" s="1254"/>
      <c r="CH5" s="1536"/>
      <c r="CI5" s="1536"/>
      <c r="CJ5" s="1536"/>
      <c r="CK5" s="1536"/>
      <c r="CL5" s="1536"/>
      <c r="CM5" s="1537"/>
    </row>
    <row r="6" spans="2:91" s="488" customFormat="1" ht="9.9499999999999993" customHeight="1" x14ac:dyDescent="0.25">
      <c r="B6" s="1548" t="s">
        <v>711</v>
      </c>
      <c r="C6" s="1549"/>
      <c r="D6" s="1549"/>
      <c r="E6" s="1549"/>
      <c r="F6" s="1549"/>
      <c r="G6" s="1549"/>
      <c r="H6" s="1549"/>
      <c r="I6" s="1549"/>
      <c r="J6" s="1549"/>
      <c r="K6" s="1549"/>
      <c r="L6" s="1549"/>
      <c r="M6" s="1549"/>
      <c r="N6" s="1549"/>
      <c r="O6" s="1549"/>
      <c r="P6" s="1549"/>
      <c r="Q6" s="1549"/>
      <c r="R6" s="1549"/>
      <c r="S6" s="1550"/>
      <c r="T6" s="491" t="s">
        <v>656</v>
      </c>
      <c r="U6" s="492"/>
      <c r="V6" s="1254"/>
      <c r="W6" s="1254"/>
      <c r="X6" s="1254"/>
      <c r="Y6" s="1254"/>
      <c r="Z6" s="1536" t="s">
        <v>712</v>
      </c>
      <c r="AA6" s="1536"/>
      <c r="AB6" s="1536"/>
      <c r="AC6" s="1536"/>
      <c r="AD6" s="1536"/>
      <c r="AE6" s="1536"/>
      <c r="AF6" s="1536"/>
      <c r="AG6" s="1536"/>
      <c r="AH6" s="1536"/>
      <c r="AI6" s="1536"/>
      <c r="AJ6" s="1551"/>
      <c r="AK6" s="565"/>
      <c r="AL6" s="1552" t="s">
        <v>778</v>
      </c>
      <c r="AM6" s="1552"/>
      <c r="AN6" s="1552"/>
      <c r="AO6" s="1552"/>
      <c r="AP6" s="1552"/>
      <c r="AQ6" s="1552"/>
      <c r="AR6" s="477"/>
      <c r="AS6" s="477"/>
      <c r="AT6" s="386"/>
      <c r="AU6" s="386"/>
      <c r="AV6" s="386"/>
      <c r="AW6" s="565"/>
      <c r="AX6" s="565"/>
      <c r="AY6" s="565"/>
      <c r="AZ6" s="565"/>
      <c r="BA6" s="565"/>
      <c r="BB6" s="565"/>
      <c r="BC6" s="565"/>
      <c r="BD6" s="565"/>
      <c r="BE6" s="565"/>
      <c r="BF6" s="565"/>
      <c r="BG6" s="565"/>
      <c r="BH6" s="565"/>
      <c r="BI6" s="565"/>
      <c r="BJ6" s="565"/>
      <c r="BK6" s="565"/>
      <c r="BL6" s="47"/>
      <c r="BM6" s="48"/>
      <c r="BN6" s="47"/>
      <c r="BO6" s="46"/>
      <c r="BP6" s="46"/>
      <c r="BQ6" s="49"/>
      <c r="BR6" s="48"/>
      <c r="BS6" s="48"/>
      <c r="BT6" s="48"/>
      <c r="BU6" s="48"/>
      <c r="BX6" s="278" t="s">
        <v>655</v>
      </c>
      <c r="BY6" s="279"/>
      <c r="BZ6" s="1536" t="s">
        <v>682</v>
      </c>
      <c r="CA6" s="1536"/>
      <c r="CB6" s="1536"/>
      <c r="CC6" s="1536"/>
      <c r="CD6" s="1553"/>
      <c r="CE6" s="280" t="s">
        <v>656</v>
      </c>
      <c r="CF6" s="281"/>
      <c r="CG6" s="1254"/>
      <c r="CH6" s="1536" t="s">
        <v>657</v>
      </c>
      <c r="CI6" s="1536"/>
      <c r="CJ6" s="1536"/>
      <c r="CK6" s="1536"/>
      <c r="CL6" s="1536"/>
      <c r="CM6" s="1537"/>
    </row>
    <row r="7" spans="2:91" s="488" customFormat="1" ht="9.9499999999999993" customHeight="1" x14ac:dyDescent="0.25">
      <c r="B7" s="1548"/>
      <c r="C7" s="1549"/>
      <c r="D7" s="1549"/>
      <c r="E7" s="1549"/>
      <c r="F7" s="1549"/>
      <c r="G7" s="1549"/>
      <c r="H7" s="1549"/>
      <c r="I7" s="1549"/>
      <c r="J7" s="1549"/>
      <c r="K7" s="1549"/>
      <c r="L7" s="1549"/>
      <c r="M7" s="1549"/>
      <c r="N7" s="1549"/>
      <c r="O7" s="1549"/>
      <c r="P7" s="1549"/>
      <c r="Q7" s="1549"/>
      <c r="R7" s="1549"/>
      <c r="S7" s="1550"/>
      <c r="T7" s="491" t="s">
        <v>509</v>
      </c>
      <c r="U7" s="492"/>
      <c r="V7" s="1254"/>
      <c r="W7" s="1254"/>
      <c r="X7" s="1254"/>
      <c r="Y7" s="1254"/>
      <c r="Z7" s="1536"/>
      <c r="AA7" s="1536"/>
      <c r="AB7" s="1536"/>
      <c r="AC7" s="1536"/>
      <c r="AD7" s="1536"/>
      <c r="AE7" s="1536"/>
      <c r="AF7" s="1536"/>
      <c r="AG7" s="1536"/>
      <c r="AH7" s="1536"/>
      <c r="AI7" s="1536"/>
      <c r="AJ7" s="1551"/>
      <c r="AK7" s="565"/>
      <c r="AL7" s="1552"/>
      <c r="AM7" s="1552"/>
      <c r="AN7" s="1552"/>
      <c r="AO7" s="1552"/>
      <c r="AP7" s="1552"/>
      <c r="AQ7" s="1552"/>
      <c r="AR7" s="565"/>
      <c r="AS7" s="565"/>
      <c r="AT7" s="565"/>
      <c r="AU7" s="565"/>
      <c r="AV7" s="565"/>
      <c r="AW7" s="565"/>
      <c r="AX7" s="565"/>
      <c r="AY7" s="565"/>
      <c r="AZ7" s="565"/>
      <c r="BA7" s="565"/>
      <c r="BB7" s="565"/>
      <c r="BC7" s="565"/>
      <c r="BD7" s="565"/>
      <c r="BE7" s="565"/>
      <c r="BF7" s="565"/>
      <c r="BG7" s="565"/>
      <c r="BH7" s="565"/>
      <c r="BI7" s="565"/>
      <c r="BJ7" s="565"/>
      <c r="BK7" s="54"/>
      <c r="BL7" s="72"/>
      <c r="BM7" s="565"/>
      <c r="BN7" s="565"/>
      <c r="BO7" s="565"/>
      <c r="BP7" s="565"/>
      <c r="BQ7" s="55"/>
      <c r="BR7" s="56"/>
      <c r="BS7" s="56"/>
      <c r="BT7" s="56"/>
      <c r="BU7" s="56"/>
      <c r="BX7" s="282"/>
      <c r="BY7" s="283"/>
      <c r="BZ7" s="1538"/>
      <c r="CA7" s="1538"/>
      <c r="CB7" s="1538"/>
      <c r="CC7" s="1538"/>
      <c r="CD7" s="1554"/>
      <c r="CE7" s="280" t="s">
        <v>509</v>
      </c>
      <c r="CF7" s="281"/>
      <c r="CG7" s="284"/>
      <c r="CH7" s="1538"/>
      <c r="CI7" s="1538"/>
      <c r="CJ7" s="1538"/>
      <c r="CK7" s="1538"/>
      <c r="CL7" s="1538"/>
      <c r="CM7" s="1539"/>
    </row>
    <row r="8" spans="2:91" s="496" customFormat="1" ht="36.75" customHeight="1" thickBot="1" x14ac:dyDescent="0.4">
      <c r="B8" s="493" t="s">
        <v>713</v>
      </c>
      <c r="C8" s="494"/>
      <c r="D8" s="494"/>
      <c r="E8" s="494"/>
      <c r="F8" s="494"/>
      <c r="G8" s="494"/>
      <c r="H8" s="494"/>
      <c r="I8" s="494"/>
      <c r="J8" s="494"/>
      <c r="K8" s="494"/>
      <c r="L8" s="494"/>
      <c r="M8" s="494"/>
      <c r="N8" s="494"/>
      <c r="O8" s="494"/>
      <c r="P8" s="494"/>
      <c r="Q8" s="494"/>
      <c r="R8" s="494"/>
      <c r="S8" s="495" t="s">
        <v>714</v>
      </c>
      <c r="T8" s="1540">
        <f ca="1">TODAY()</f>
        <v>44232</v>
      </c>
      <c r="U8" s="1540"/>
      <c r="V8" s="1540"/>
      <c r="W8" s="1540"/>
      <c r="X8" s="1540"/>
      <c r="Y8" s="1540"/>
      <c r="Z8" s="1541">
        <f ca="1">NOW()</f>
        <v>44232.80612465278</v>
      </c>
      <c r="AA8" s="1541"/>
      <c r="AB8" s="1541"/>
      <c r="AC8" s="1541"/>
      <c r="AD8" s="1542">
        <f>$B$13</f>
        <v>44197</v>
      </c>
      <c r="AE8" s="1542"/>
      <c r="AF8" s="1542"/>
      <c r="AG8" s="1542"/>
      <c r="AH8" s="1542"/>
      <c r="AI8" s="1542"/>
      <c r="AJ8" s="1543"/>
      <c r="AK8" s="566"/>
      <c r="AL8" s="571" t="s">
        <v>1027</v>
      </c>
      <c r="AM8" s="571"/>
      <c r="AN8" s="571"/>
      <c r="AO8" s="571"/>
      <c r="AP8" s="571"/>
      <c r="AQ8" s="571"/>
      <c r="AR8" s="1263"/>
      <c r="AS8" s="1263"/>
      <c r="AT8" s="1263"/>
      <c r="AU8" s="1263"/>
      <c r="AV8" s="1264" t="s">
        <v>998</v>
      </c>
      <c r="AW8" s="1265" t="s">
        <v>999</v>
      </c>
      <c r="AX8" s="1263"/>
      <c r="AY8" s="1263"/>
      <c r="AZ8" s="1263"/>
      <c r="BA8" s="1263"/>
      <c r="BB8" s="1263"/>
      <c r="BC8" s="1263"/>
      <c r="BD8" s="1263" t="s">
        <v>994</v>
      </c>
      <c r="BE8" s="1263"/>
      <c r="BF8" s="1285" t="s">
        <v>995</v>
      </c>
      <c r="BG8" s="1263"/>
      <c r="BH8" s="1263"/>
      <c r="BI8" s="1262"/>
      <c r="BJ8" s="1544" t="s">
        <v>779</v>
      </c>
      <c r="BK8" s="1544"/>
      <c r="BL8" s="1544"/>
      <c r="BM8" s="1544"/>
      <c r="BN8" s="1544"/>
      <c r="BO8" s="1544"/>
      <c r="BP8" s="1544"/>
      <c r="BQ8" s="1544"/>
      <c r="BR8" s="1544"/>
      <c r="BS8" s="1544"/>
      <c r="BT8" s="1544"/>
      <c r="BU8" s="1544"/>
      <c r="BX8" s="1545" t="s">
        <v>512</v>
      </c>
      <c r="BY8" s="1546"/>
      <c r="BZ8" s="1546"/>
      <c r="CA8" s="1546"/>
      <c r="CB8" s="1546"/>
      <c r="CC8" s="1546"/>
      <c r="CD8" s="1546"/>
      <c r="CE8" s="1546"/>
      <c r="CF8" s="1546"/>
      <c r="CG8" s="1546"/>
      <c r="CH8" s="1546"/>
      <c r="CI8" s="1546"/>
      <c r="CJ8" s="1546"/>
      <c r="CK8" s="1546"/>
      <c r="CL8" s="1546"/>
      <c r="CM8" s="1547"/>
    </row>
    <row r="9" spans="2:91" s="496" customFormat="1" ht="15.75" customHeight="1" x14ac:dyDescent="0.35">
      <c r="B9" s="1293">
        <f>DATE(C$11,MONTH(1&amp;"/"&amp;C10),1)</f>
        <v>44197</v>
      </c>
      <c r="C9" s="642">
        <f>B9</f>
        <v>44197</v>
      </c>
      <c r="D9" s="14">
        <f>IFERROR(IF(C9+1&gt;$B$10,"",C9+1),"")</f>
        <v>44198</v>
      </c>
      <c r="E9" s="14">
        <f t="shared" ref="E9:AJ9" si="0">IFERROR(IF(D9+1&gt;$B$10,"",D9+1),"")</f>
        <v>44199</v>
      </c>
      <c r="F9" s="14">
        <f t="shared" si="0"/>
        <v>44200</v>
      </c>
      <c r="G9" s="14">
        <f t="shared" si="0"/>
        <v>44201</v>
      </c>
      <c r="H9" s="14">
        <f t="shared" si="0"/>
        <v>44202</v>
      </c>
      <c r="I9" s="14">
        <f t="shared" si="0"/>
        <v>44203</v>
      </c>
      <c r="J9" s="14">
        <f t="shared" si="0"/>
        <v>44204</v>
      </c>
      <c r="K9" s="14">
        <f t="shared" si="0"/>
        <v>44205</v>
      </c>
      <c r="L9" s="14">
        <f t="shared" si="0"/>
        <v>44206</v>
      </c>
      <c r="M9" s="14">
        <f t="shared" si="0"/>
        <v>44207</v>
      </c>
      <c r="N9" s="14">
        <f t="shared" si="0"/>
        <v>44208</v>
      </c>
      <c r="O9" s="14">
        <f t="shared" si="0"/>
        <v>44209</v>
      </c>
      <c r="P9" s="14">
        <f t="shared" si="0"/>
        <v>44210</v>
      </c>
      <c r="Q9" s="14">
        <f t="shared" si="0"/>
        <v>44211</v>
      </c>
      <c r="R9" s="14">
        <f t="shared" si="0"/>
        <v>44212</v>
      </c>
      <c r="S9" s="14">
        <f t="shared" si="0"/>
        <v>44213</v>
      </c>
      <c r="T9" s="14">
        <f t="shared" si="0"/>
        <v>44214</v>
      </c>
      <c r="U9" s="14">
        <f t="shared" si="0"/>
        <v>44215</v>
      </c>
      <c r="V9" s="14">
        <f t="shared" si="0"/>
        <v>44216</v>
      </c>
      <c r="W9" s="14">
        <f t="shared" si="0"/>
        <v>44217</v>
      </c>
      <c r="X9" s="14">
        <f t="shared" si="0"/>
        <v>44218</v>
      </c>
      <c r="Y9" s="14">
        <f t="shared" si="0"/>
        <v>44219</v>
      </c>
      <c r="Z9" s="14">
        <f t="shared" si="0"/>
        <v>44220</v>
      </c>
      <c r="AA9" s="14">
        <f t="shared" si="0"/>
        <v>44221</v>
      </c>
      <c r="AB9" s="14">
        <f t="shared" si="0"/>
        <v>44222</v>
      </c>
      <c r="AC9" s="14">
        <f t="shared" si="0"/>
        <v>44223</v>
      </c>
      <c r="AD9" s="14">
        <f t="shared" si="0"/>
        <v>44224</v>
      </c>
      <c r="AE9" s="14">
        <f t="shared" si="0"/>
        <v>44225</v>
      </c>
      <c r="AF9" s="14">
        <f t="shared" si="0"/>
        <v>44226</v>
      </c>
      <c r="AG9" s="14">
        <f t="shared" si="0"/>
        <v>44227</v>
      </c>
      <c r="AH9" s="14" t="str">
        <f t="shared" si="0"/>
        <v/>
      </c>
      <c r="AI9" s="14" t="str">
        <f t="shared" si="0"/>
        <v/>
      </c>
      <c r="AJ9" s="14" t="str">
        <f t="shared" si="0"/>
        <v/>
      </c>
      <c r="AK9" s="566"/>
      <c r="AL9" s="571" t="s">
        <v>1028</v>
      </c>
      <c r="AM9" s="571"/>
      <c r="AN9" s="571"/>
      <c r="AO9" s="571"/>
      <c r="AP9" s="571"/>
      <c r="AQ9" s="571"/>
      <c r="AR9" s="1263"/>
      <c r="AS9" s="1263"/>
      <c r="AT9" s="1263"/>
      <c r="AU9" s="1263"/>
      <c r="AV9" s="1263"/>
      <c r="AW9" s="1263"/>
      <c r="AX9" s="1263"/>
      <c r="AY9" s="1263"/>
      <c r="AZ9" s="1263"/>
      <c r="BA9" s="1263"/>
      <c r="BB9" s="1263"/>
      <c r="BC9" s="1263"/>
      <c r="BD9" s="1263" t="s">
        <v>996</v>
      </c>
      <c r="BE9" s="1263"/>
      <c r="BF9" s="1265" t="s">
        <v>997</v>
      </c>
      <c r="BG9" s="1263"/>
      <c r="BH9" s="1263"/>
      <c r="BI9" s="1262"/>
      <c r="BJ9" s="1259"/>
      <c r="BK9" s="1259"/>
      <c r="BL9" s="1259"/>
      <c r="BM9" s="1259"/>
      <c r="BN9" s="1259"/>
      <c r="BO9" s="1259"/>
      <c r="BP9" s="1259"/>
      <c r="BQ9" s="1259"/>
      <c r="BR9" s="1259"/>
      <c r="BS9" s="1259"/>
      <c r="BT9" s="1259"/>
      <c r="BU9" s="1259"/>
      <c r="BX9" s="1260"/>
      <c r="BY9" s="1260"/>
      <c r="BZ9" s="1260"/>
      <c r="CA9" s="1260"/>
      <c r="CB9" s="1260"/>
      <c r="CC9" s="1260"/>
      <c r="CD9" s="1260"/>
      <c r="CE9" s="1260"/>
      <c r="CF9" s="1260"/>
      <c r="CG9" s="1260"/>
      <c r="CH9" s="1260"/>
      <c r="CI9" s="1260"/>
      <c r="CJ9" s="1260"/>
      <c r="CK9" s="1260"/>
      <c r="CL9" s="1260"/>
      <c r="CM9" s="1260"/>
    </row>
    <row r="10" spans="2:91" s="488" customFormat="1" ht="27.75" customHeight="1" x14ac:dyDescent="0.2">
      <c r="B10" s="1294">
        <f>EOMONTH(B9,0)</f>
        <v>44227</v>
      </c>
      <c r="C10" s="1557" t="s">
        <v>1026</v>
      </c>
      <c r="D10" s="1557"/>
      <c r="E10" s="1557"/>
      <c r="F10" s="1557"/>
      <c r="G10" s="1557"/>
      <c r="H10" s="1557"/>
      <c r="I10" s="1557"/>
      <c r="J10" s="1557"/>
      <c r="K10" s="1557"/>
      <c r="L10" s="1557"/>
      <c r="M10" s="1557"/>
      <c r="N10" s="1557"/>
      <c r="O10" s="1557"/>
      <c r="P10" s="1557"/>
      <c r="Q10" s="1557"/>
      <c r="R10" s="1557"/>
      <c r="S10" s="1557"/>
      <c r="T10" s="1557"/>
      <c r="U10" s="1557"/>
      <c r="V10" s="1557"/>
      <c r="W10" s="1557"/>
      <c r="X10" s="1557"/>
      <c r="Y10" s="1557"/>
      <c r="Z10" s="1557"/>
      <c r="AA10" s="1557"/>
      <c r="AB10" s="1557"/>
      <c r="AC10" s="1557"/>
      <c r="AD10" s="1557"/>
      <c r="AE10" s="1557"/>
      <c r="AF10" s="1557"/>
      <c r="AG10" s="1558"/>
      <c r="AH10" s="568"/>
      <c r="AI10" s="565"/>
      <c r="AJ10" s="565"/>
      <c r="AK10" s="565"/>
      <c r="AL10" s="571" t="s">
        <v>1029</v>
      </c>
      <c r="AM10" s="571"/>
      <c r="AN10" s="571"/>
      <c r="AO10" s="571"/>
      <c r="AP10" s="571"/>
      <c r="AQ10" s="571"/>
      <c r="AR10" s="1266" t="s">
        <v>1000</v>
      </c>
      <c r="AS10" s="1266"/>
      <c r="AT10" s="1267"/>
      <c r="AU10" s="1268" t="s">
        <v>1001</v>
      </c>
      <c r="AV10" s="1266"/>
      <c r="AW10" s="1266"/>
      <c r="AX10" s="1266"/>
      <c r="AY10" s="1266"/>
      <c r="AZ10" s="1266"/>
      <c r="BA10" s="1266"/>
      <c r="BB10" s="1266"/>
      <c r="BI10" s="565"/>
      <c r="BJ10" s="565"/>
      <c r="BK10" s="565"/>
      <c r="BL10" s="565"/>
      <c r="BM10" s="565"/>
      <c r="BN10" s="565"/>
      <c r="BO10" s="565"/>
      <c r="BP10" s="565"/>
      <c r="BQ10" s="565"/>
      <c r="BR10" s="565"/>
      <c r="BS10" s="565"/>
      <c r="BT10" s="565"/>
      <c r="BU10" s="565"/>
    </row>
    <row r="11" spans="2:91" ht="26.25" customHeight="1" x14ac:dyDescent="0.25">
      <c r="B11" s="1295" t="s">
        <v>993</v>
      </c>
      <c r="C11" s="1559">
        <v>2021</v>
      </c>
      <c r="D11" s="1559"/>
      <c r="E11" s="1559"/>
      <c r="F11" s="498"/>
      <c r="G11" s="498"/>
      <c r="H11" s="498"/>
      <c r="I11" s="498"/>
      <c r="J11" s="498"/>
      <c r="K11" s="498"/>
      <c r="L11" s="498"/>
      <c r="M11" s="498"/>
      <c r="N11" s="498"/>
      <c r="O11" s="498"/>
      <c r="P11" s="498"/>
      <c r="Q11" s="498"/>
      <c r="R11" s="498"/>
      <c r="S11" s="499" t="s">
        <v>1035</v>
      </c>
      <c r="T11" s="547" t="s">
        <v>37</v>
      </c>
      <c r="U11" s="547" t="s">
        <v>715</v>
      </c>
      <c r="V11" s="547" t="s">
        <v>716</v>
      </c>
      <c r="W11" s="547" t="s">
        <v>717</v>
      </c>
      <c r="X11" s="547" t="s">
        <v>718</v>
      </c>
      <c r="Y11" s="567"/>
      <c r="Z11" s="572" t="s">
        <v>7</v>
      </c>
      <c r="AA11" s="549" t="s">
        <v>373</v>
      </c>
      <c r="AB11" s="550" t="s">
        <v>364</v>
      </c>
      <c r="AC11" s="551" t="s">
        <v>360</v>
      </c>
      <c r="AD11" s="552" t="s">
        <v>356</v>
      </c>
      <c r="AE11" s="553" t="s">
        <v>8</v>
      </c>
      <c r="AF11" s="554" t="s">
        <v>662</v>
      </c>
      <c r="AG11" s="555" t="s">
        <v>358</v>
      </c>
      <c r="AH11" s="568"/>
      <c r="AI11" s="565"/>
      <c r="AJ11" s="565"/>
      <c r="AK11" s="565"/>
      <c r="AL11" s="571" t="s">
        <v>1030</v>
      </c>
      <c r="AM11" s="563"/>
      <c r="AN11" s="563"/>
      <c r="AO11" s="563"/>
      <c r="AP11" s="563"/>
      <c r="AQ11" s="563"/>
      <c r="AR11" s="563"/>
      <c r="AS11" s="566"/>
      <c r="AT11" s="566"/>
      <c r="AU11" s="566"/>
      <c r="AV11" s="566"/>
      <c r="AW11" s="566"/>
      <c r="AX11" s="566"/>
      <c r="AY11" s="566"/>
      <c r="AZ11" s="563"/>
      <c r="BA11" s="563"/>
      <c r="BB11" s="563"/>
      <c r="BI11" s="563"/>
      <c r="BJ11" s="1504" t="s">
        <v>78</v>
      </c>
      <c r="BK11" s="1530" t="s">
        <v>59</v>
      </c>
      <c r="BL11" s="1530"/>
      <c r="BM11" s="1505" t="s">
        <v>61</v>
      </c>
      <c r="BN11" s="1505"/>
      <c r="BO11" s="1505"/>
      <c r="BP11" s="1505"/>
      <c r="BQ11" s="676" t="s">
        <v>830</v>
      </c>
      <c r="BR11" s="56"/>
      <c r="BS11" s="56"/>
      <c r="BT11" s="56"/>
      <c r="BU11" s="56"/>
      <c r="BX11" s="1095"/>
      <c r="BY11" s="1096" t="str">
        <f ca="1">CELL("nomfichier")</f>
        <v>E:\UPRT a faire\so-plannings.copie\[calendrier.Pascal.Grandet.xlsx]Calendrier.Pascal.Grandet</v>
      </c>
      <c r="BZ11" s="1097"/>
      <c r="CA11" s="1097"/>
      <c r="CB11" s="1097"/>
      <c r="CC11" s="1097"/>
      <c r="CD11" s="1097"/>
      <c r="CE11" s="1097"/>
      <c r="CF11" s="1097"/>
      <c r="CG11" s="1097"/>
      <c r="CH11" s="1097"/>
      <c r="CI11" s="1097"/>
      <c r="CJ11" s="1097"/>
      <c r="CK11" s="1097"/>
      <c r="CL11" s="1097"/>
      <c r="CM11" s="288"/>
    </row>
    <row r="12" spans="2:91" ht="18.75" customHeight="1" x14ac:dyDescent="0.35">
      <c r="B12" s="1296"/>
      <c r="C12" s="563"/>
      <c r="D12" s="563"/>
      <c r="E12" s="563"/>
      <c r="F12" s="563"/>
      <c r="G12" s="563"/>
      <c r="H12" s="563"/>
      <c r="I12" s="563"/>
      <c r="J12" s="563"/>
      <c r="K12" s="563"/>
      <c r="L12" s="563"/>
      <c r="M12" s="563"/>
      <c r="N12" s="563"/>
      <c r="O12" s="563"/>
      <c r="P12" s="564"/>
      <c r="Q12" s="563"/>
      <c r="R12" s="563"/>
      <c r="S12" s="1291" t="s">
        <v>719</v>
      </c>
      <c r="T12" s="500">
        <v>0.29166666666666669</v>
      </c>
      <c r="U12" s="500">
        <v>0.3125</v>
      </c>
      <c r="V12" s="500">
        <v>0.33333333333333331</v>
      </c>
      <c r="W12" s="500">
        <v>0.25</v>
      </c>
      <c r="X12" s="500">
        <v>0.125</v>
      </c>
      <c r="Y12" s="564"/>
      <c r="Z12" s="1292">
        <f>COUNTIF($C$16:$AI$48,Z11)</f>
        <v>0</v>
      </c>
      <c r="AA12" s="1292">
        <f t="shared" ref="AA12:AG12" si="1">COUNTIF($C$16:$AI$48,AA11)</f>
        <v>0</v>
      </c>
      <c r="AB12" s="1292">
        <f t="shared" si="1"/>
        <v>0</v>
      </c>
      <c r="AC12" s="1292">
        <f t="shared" si="1"/>
        <v>0</v>
      </c>
      <c r="AD12" s="1292">
        <f t="shared" si="1"/>
        <v>0</v>
      </c>
      <c r="AE12" s="1292">
        <f t="shared" si="1"/>
        <v>0</v>
      </c>
      <c r="AF12" s="1292">
        <f t="shared" si="1"/>
        <v>2</v>
      </c>
      <c r="AG12" s="1292">
        <f t="shared" si="1"/>
        <v>1</v>
      </c>
      <c r="AH12" s="1555">
        <f>B10+1</f>
        <v>44228</v>
      </c>
      <c r="AI12" s="1556"/>
      <c r="AJ12" s="563"/>
      <c r="AK12" s="563"/>
      <c r="AL12" s="571"/>
      <c r="AM12" s="563"/>
      <c r="AN12" s="563"/>
      <c r="AO12" s="563"/>
      <c r="AP12" s="563"/>
      <c r="AQ12" s="563"/>
      <c r="AR12" s="563"/>
      <c r="AS12" s="584" t="s">
        <v>781</v>
      </c>
      <c r="AT12" s="566"/>
      <c r="AU12" s="566"/>
      <c r="AV12" s="566"/>
      <c r="AW12" s="566"/>
      <c r="AX12" s="566"/>
      <c r="AY12" s="566"/>
      <c r="AZ12" s="563"/>
      <c r="BA12" s="563"/>
      <c r="BB12" s="563"/>
      <c r="BC12" s="1489" t="s">
        <v>892</v>
      </c>
      <c r="BD12" s="1489"/>
      <c r="BE12" s="1489"/>
      <c r="BF12" s="1489"/>
      <c r="BG12" s="1489"/>
      <c r="BH12" s="1489"/>
      <c r="BI12" s="563"/>
      <c r="BJ12" s="1504"/>
      <c r="BK12" s="46"/>
      <c r="BL12" s="56"/>
      <c r="BM12" s="56"/>
      <c r="BN12" s="56"/>
      <c r="BO12" s="56"/>
      <c r="BP12" s="56"/>
      <c r="BQ12" s="56"/>
      <c r="BR12" s="56"/>
      <c r="BS12" s="56"/>
      <c r="BT12" s="56"/>
      <c r="BU12" s="56"/>
      <c r="BX12" s="1098"/>
      <c r="BY12" s="1099" t="s">
        <v>513</v>
      </c>
      <c r="BZ12" s="1100"/>
      <c r="CA12" s="1101"/>
      <c r="CB12" s="1102" t="s">
        <v>297</v>
      </c>
      <c r="CC12" s="1103"/>
      <c r="CD12" s="1101"/>
      <c r="CE12" s="1100"/>
      <c r="CF12" s="1100"/>
      <c r="CG12" s="1100"/>
      <c r="CH12" s="1104" t="s">
        <v>517</v>
      </c>
      <c r="CI12" s="1105"/>
      <c r="CJ12" s="1106" t="s">
        <v>57</v>
      </c>
      <c r="CK12" s="1107"/>
      <c r="CL12" s="1107"/>
      <c r="CM12" s="1108"/>
    </row>
    <row r="13" spans="2:91" ht="27" customHeight="1" thickBot="1" x14ac:dyDescent="0.4">
      <c r="B13" s="1534">
        <f>B9</f>
        <v>44197</v>
      </c>
      <c r="C13" s="538">
        <f>IFERROR(DAY(C9),"")</f>
        <v>1</v>
      </c>
      <c r="D13" s="538">
        <f t="shared" ref="D13:AG13" si="2">IFERROR(DAY(D9),"")</f>
        <v>2</v>
      </c>
      <c r="E13" s="538">
        <f t="shared" si="2"/>
        <v>3</v>
      </c>
      <c r="F13" s="1286">
        <f t="shared" si="2"/>
        <v>4</v>
      </c>
      <c r="G13" s="1286">
        <f t="shared" si="2"/>
        <v>5</v>
      </c>
      <c r="H13" s="538">
        <f t="shared" si="2"/>
        <v>6</v>
      </c>
      <c r="I13" s="538">
        <f t="shared" si="2"/>
        <v>7</v>
      </c>
      <c r="J13" s="538">
        <f t="shared" si="2"/>
        <v>8</v>
      </c>
      <c r="K13" s="538">
        <f t="shared" si="2"/>
        <v>9</v>
      </c>
      <c r="L13" s="538">
        <f t="shared" si="2"/>
        <v>10</v>
      </c>
      <c r="M13" s="538">
        <f t="shared" si="2"/>
        <v>11</v>
      </c>
      <c r="N13" s="538">
        <f t="shared" si="2"/>
        <v>12</v>
      </c>
      <c r="O13" s="538">
        <f t="shared" si="2"/>
        <v>13</v>
      </c>
      <c r="P13" s="538">
        <f t="shared" si="2"/>
        <v>14</v>
      </c>
      <c r="Q13" s="538">
        <f t="shared" si="2"/>
        <v>15</v>
      </c>
      <c r="R13" s="538">
        <f t="shared" si="2"/>
        <v>16</v>
      </c>
      <c r="S13" s="538">
        <f t="shared" si="2"/>
        <v>17</v>
      </c>
      <c r="T13" s="538">
        <f t="shared" si="2"/>
        <v>18</v>
      </c>
      <c r="U13" s="538">
        <f t="shared" si="2"/>
        <v>19</v>
      </c>
      <c r="V13" s="538">
        <f t="shared" si="2"/>
        <v>20</v>
      </c>
      <c r="W13" s="538">
        <f t="shared" si="2"/>
        <v>21</v>
      </c>
      <c r="X13" s="538">
        <f t="shared" si="2"/>
        <v>22</v>
      </c>
      <c r="Y13" s="538">
        <f t="shared" si="2"/>
        <v>23</v>
      </c>
      <c r="Z13" s="538">
        <f t="shared" si="2"/>
        <v>24</v>
      </c>
      <c r="AA13" s="538">
        <f t="shared" si="2"/>
        <v>25</v>
      </c>
      <c r="AB13" s="538">
        <f t="shared" si="2"/>
        <v>26</v>
      </c>
      <c r="AC13" s="538">
        <f t="shared" si="2"/>
        <v>27</v>
      </c>
      <c r="AD13" s="538">
        <f t="shared" si="2"/>
        <v>28</v>
      </c>
      <c r="AE13" s="538">
        <f t="shared" si="2"/>
        <v>29</v>
      </c>
      <c r="AF13" s="538">
        <f t="shared" si="2"/>
        <v>30</v>
      </c>
      <c r="AG13" s="538">
        <f t="shared" si="2"/>
        <v>31</v>
      </c>
      <c r="AH13" s="538">
        <f>AG13+1</f>
        <v>32</v>
      </c>
      <c r="AI13" s="538">
        <f>AH13+1</f>
        <v>33</v>
      </c>
      <c r="AJ13" s="569"/>
      <c r="AK13" s="563"/>
      <c r="AL13" s="565"/>
      <c r="AM13" s="563"/>
      <c r="AN13" s="582" t="s">
        <v>780</v>
      </c>
      <c r="AO13" s="563"/>
      <c r="AP13" s="563"/>
      <c r="AQ13" s="563"/>
      <c r="AR13" s="563"/>
      <c r="AS13" s="563"/>
      <c r="AT13" s="563"/>
      <c r="AU13" s="563"/>
      <c r="AV13" s="563"/>
      <c r="AW13" s="563"/>
      <c r="AX13" s="563"/>
      <c r="AY13" s="563"/>
      <c r="AZ13" s="563"/>
      <c r="BA13" s="563"/>
      <c r="BB13" s="563"/>
      <c r="BC13" s="1489"/>
      <c r="BD13" s="1489"/>
      <c r="BE13" s="1489"/>
      <c r="BF13" s="1489"/>
      <c r="BG13" s="1489"/>
      <c r="BH13" s="1489"/>
      <c r="BI13" s="563"/>
      <c r="BK13" s="56"/>
      <c r="BL13" s="56"/>
      <c r="BM13" s="56"/>
      <c r="BN13" s="56"/>
      <c r="BO13" s="56"/>
      <c r="BP13" s="56"/>
      <c r="BQ13" s="56"/>
      <c r="BR13" s="56"/>
      <c r="BS13" s="56"/>
      <c r="BT13" s="56"/>
      <c r="BU13" s="56"/>
      <c r="BX13" s="1098"/>
      <c r="BY13" s="1101"/>
      <c r="BZ13" s="1101"/>
      <c r="CA13" s="1101"/>
      <c r="CB13" s="1101"/>
      <c r="CC13" s="1103"/>
      <c r="CD13" s="1101"/>
      <c r="CE13" s="1100"/>
      <c r="CF13" s="1100"/>
      <c r="CG13" s="1100"/>
      <c r="CH13" s="1109" t="s">
        <v>522</v>
      </c>
      <c r="CI13" s="1105"/>
      <c r="CJ13" s="1531">
        <f ca="1">NOW()</f>
        <v>44232.80612465278</v>
      </c>
      <c r="CK13" s="1532"/>
      <c r="CL13" s="1533"/>
      <c r="CM13" s="1255"/>
    </row>
    <row r="14" spans="2:91" ht="21.75" customHeight="1" thickBot="1" x14ac:dyDescent="0.3">
      <c r="B14" s="1535"/>
      <c r="C14" s="501">
        <f>IF(C9="","",WEEKDAY(C9,1))</f>
        <v>6</v>
      </c>
      <c r="D14" s="501">
        <f t="shared" ref="D14:AG14" si="3">IF(D9="","",WEEKDAY(D9,1))</f>
        <v>7</v>
      </c>
      <c r="E14" s="501">
        <f t="shared" si="3"/>
        <v>1</v>
      </c>
      <c r="F14" s="501">
        <f t="shared" si="3"/>
        <v>2</v>
      </c>
      <c r="G14" s="501">
        <f t="shared" si="3"/>
        <v>3</v>
      </c>
      <c r="H14" s="501">
        <f t="shared" si="3"/>
        <v>4</v>
      </c>
      <c r="I14" s="501">
        <f t="shared" si="3"/>
        <v>5</v>
      </c>
      <c r="J14" s="501">
        <f t="shared" si="3"/>
        <v>6</v>
      </c>
      <c r="K14" s="501">
        <f t="shared" si="3"/>
        <v>7</v>
      </c>
      <c r="L14" s="501">
        <f t="shared" si="3"/>
        <v>1</v>
      </c>
      <c r="M14" s="501">
        <f t="shared" si="3"/>
        <v>2</v>
      </c>
      <c r="N14" s="501">
        <f t="shared" si="3"/>
        <v>3</v>
      </c>
      <c r="O14" s="501">
        <f t="shared" si="3"/>
        <v>4</v>
      </c>
      <c r="P14" s="501">
        <f t="shared" si="3"/>
        <v>5</v>
      </c>
      <c r="Q14" s="501">
        <f t="shared" si="3"/>
        <v>6</v>
      </c>
      <c r="R14" s="501">
        <f t="shared" si="3"/>
        <v>7</v>
      </c>
      <c r="S14" s="501">
        <f t="shared" si="3"/>
        <v>1</v>
      </c>
      <c r="T14" s="501">
        <f t="shared" si="3"/>
        <v>2</v>
      </c>
      <c r="U14" s="501">
        <f t="shared" si="3"/>
        <v>3</v>
      </c>
      <c r="V14" s="501">
        <f t="shared" si="3"/>
        <v>4</v>
      </c>
      <c r="W14" s="501">
        <f t="shared" si="3"/>
        <v>5</v>
      </c>
      <c r="X14" s="501">
        <f t="shared" si="3"/>
        <v>6</v>
      </c>
      <c r="Y14" s="501">
        <f t="shared" si="3"/>
        <v>7</v>
      </c>
      <c r="Z14" s="501">
        <f t="shared" si="3"/>
        <v>1</v>
      </c>
      <c r="AA14" s="501">
        <f t="shared" si="3"/>
        <v>2</v>
      </c>
      <c r="AB14" s="501">
        <f t="shared" si="3"/>
        <v>3</v>
      </c>
      <c r="AC14" s="501">
        <f t="shared" si="3"/>
        <v>4</v>
      </c>
      <c r="AD14" s="501">
        <f t="shared" si="3"/>
        <v>5</v>
      </c>
      <c r="AE14" s="501">
        <f t="shared" si="3"/>
        <v>6</v>
      </c>
      <c r="AF14" s="501">
        <f t="shared" si="3"/>
        <v>7</v>
      </c>
      <c r="AG14" s="501">
        <f t="shared" si="3"/>
        <v>1</v>
      </c>
      <c r="AH14" s="501">
        <f>AH13</f>
        <v>32</v>
      </c>
      <c r="AI14" s="501">
        <f>AI13</f>
        <v>33</v>
      </c>
      <c r="AJ14" s="570"/>
      <c r="AK14" s="563"/>
      <c r="AL14" s="565"/>
      <c r="AM14" s="502">
        <f>AD8</f>
        <v>44197</v>
      </c>
      <c r="AN14" s="548" t="s">
        <v>37</v>
      </c>
      <c r="AO14" s="548" t="s">
        <v>715</v>
      </c>
      <c r="AP14" s="548" t="s">
        <v>716</v>
      </c>
      <c r="AQ14" s="548" t="s">
        <v>717</v>
      </c>
      <c r="AR14" s="548" t="s">
        <v>718</v>
      </c>
      <c r="AS14" s="543" t="s">
        <v>7</v>
      </c>
      <c r="AT14" s="544" t="s">
        <v>373</v>
      </c>
      <c r="AU14" s="503" t="s">
        <v>364</v>
      </c>
      <c r="AV14" s="546" t="s">
        <v>360</v>
      </c>
      <c r="AW14" s="578" t="s">
        <v>356</v>
      </c>
      <c r="AX14" s="504" t="s">
        <v>8</v>
      </c>
      <c r="AY14" s="573" t="s">
        <v>662</v>
      </c>
      <c r="AZ14" s="576" t="s">
        <v>358</v>
      </c>
      <c r="BA14" s="563"/>
      <c r="BB14" s="563"/>
      <c r="BC14" s="1490">
        <f>C11</f>
        <v>2021</v>
      </c>
      <c r="BD14" s="1491"/>
      <c r="BE14" s="1492"/>
      <c r="BF14" s="563"/>
      <c r="BG14" s="1493">
        <f>BC30+1</f>
        <v>2023</v>
      </c>
      <c r="BH14" s="1494"/>
      <c r="BI14" s="563"/>
      <c r="BJ14" s="547" t="s">
        <v>79</v>
      </c>
      <c r="BK14" s="50">
        <v>0.27083333333333331</v>
      </c>
      <c r="BL14" s="50">
        <v>0.4375</v>
      </c>
      <c r="BM14" s="51"/>
      <c r="BN14" s="589">
        <f>IF(BL14-BK14=0,0,(BL14-BK14)-(BM14*TIMEVALUE("00:30")))</f>
        <v>0.16666666666666669</v>
      </c>
      <c r="BO14" s="587" t="s">
        <v>62</v>
      </c>
      <c r="BP14" s="54"/>
      <c r="BQ14" s="56"/>
      <c r="BR14" s="56"/>
      <c r="BS14" s="56"/>
      <c r="BT14" s="56"/>
      <c r="BU14" s="56"/>
      <c r="BX14" s="1098"/>
      <c r="BY14" s="1172">
        <f>BY13+1</f>
        <v>1</v>
      </c>
      <c r="BZ14" s="1173" t="s">
        <v>514</v>
      </c>
      <c r="CA14" s="1139"/>
      <c r="CB14" s="1139"/>
      <c r="CC14" s="1137"/>
      <c r="CD14" s="1139"/>
      <c r="CE14" s="1100"/>
      <c r="CF14" s="1161"/>
      <c r="CG14" s="1161"/>
      <c r="CH14" s="1162" t="s">
        <v>527</v>
      </c>
      <c r="CI14" s="1135"/>
      <c r="CJ14" s="1161"/>
      <c r="CK14" s="1135"/>
      <c r="CL14" s="1135"/>
      <c r="CM14" s="1163"/>
    </row>
    <row r="15" spans="2:91" ht="13.5" customHeight="1" x14ac:dyDescent="0.3">
      <c r="B15" s="505"/>
      <c r="AJ15" s="506"/>
      <c r="AK15" s="563"/>
      <c r="AL15" s="565"/>
      <c r="AM15" s="507"/>
      <c r="AN15" s="508">
        <f>T12</f>
        <v>0.29166666666666669</v>
      </c>
      <c r="AO15" s="508">
        <f>U12</f>
        <v>0.3125</v>
      </c>
      <c r="AP15" s="508">
        <f>V12</f>
        <v>0.33333333333333331</v>
      </c>
      <c r="AQ15" s="508">
        <f>W12</f>
        <v>0.25</v>
      </c>
      <c r="AR15" s="508">
        <f>X12</f>
        <v>0.125</v>
      </c>
      <c r="AY15" s="574"/>
      <c r="AZ15" s="509"/>
      <c r="BC15" s="359">
        <f t="shared" ref="BC15:BC27" si="4">BD15</f>
        <v>44197</v>
      </c>
      <c r="BD15" s="360">
        <f>DATE(BC14,1,1)</f>
        <v>44197</v>
      </c>
      <c r="BE15" s="361" t="s">
        <v>721</v>
      </c>
      <c r="BF15" s="563"/>
      <c r="BG15" s="1495" t="s">
        <v>722</v>
      </c>
      <c r="BH15" s="1496"/>
      <c r="BI15" s="563"/>
      <c r="BN15" s="585"/>
      <c r="BO15" s="588"/>
      <c r="BP15" s="56"/>
      <c r="BQ15" s="56"/>
      <c r="BR15" s="56"/>
      <c r="BS15" s="56"/>
      <c r="BT15" s="56"/>
      <c r="BU15" s="56"/>
      <c r="BX15" s="1130"/>
      <c r="BY15" s="1140"/>
      <c r="BZ15" s="1140"/>
      <c r="CA15" s="1140"/>
      <c r="CB15" s="1140"/>
      <c r="CC15" s="1140"/>
      <c r="CD15" s="1140"/>
      <c r="CE15" s="1140"/>
      <c r="CF15" s="1132"/>
      <c r="CG15" s="1132"/>
      <c r="CH15" s="1133"/>
      <c r="CI15" s="1132"/>
      <c r="CJ15" s="1132"/>
      <c r="CK15" s="1132"/>
      <c r="CL15" s="1132"/>
      <c r="CM15" s="1164"/>
    </row>
    <row r="16" spans="2:91" ht="27" customHeight="1" x14ac:dyDescent="0.3">
      <c r="B16" s="557" t="s">
        <v>720</v>
      </c>
      <c r="C16" s="547" t="s">
        <v>718</v>
      </c>
      <c r="D16" s="547" t="s">
        <v>37</v>
      </c>
      <c r="E16" s="547" t="s">
        <v>37</v>
      </c>
      <c r="F16" s="554" t="s">
        <v>662</v>
      </c>
      <c r="G16" s="554" t="s">
        <v>662</v>
      </c>
      <c r="H16" s="547" t="s">
        <v>717</v>
      </c>
      <c r="I16" s="555" t="s">
        <v>358</v>
      </c>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12"/>
      <c r="AK16" s="563"/>
      <c r="AL16" s="565"/>
      <c r="AM16" s="559" t="str">
        <f t="shared" ref="AM16:AM48" si="5">B16</f>
        <v>Albert</v>
      </c>
      <c r="AN16" s="513">
        <f>COUNTIF($C16:$AI16,AN$14)</f>
        <v>2</v>
      </c>
      <c r="AO16" s="513">
        <f>COUNTIF($C16:$AI16,AO$14)</f>
        <v>0</v>
      </c>
      <c r="AP16" s="513">
        <f t="shared" ref="AP16:AZ30" si="6">COUNTIF($C16:$AI16,AP$14)</f>
        <v>0</v>
      </c>
      <c r="AQ16" s="513">
        <f t="shared" si="6"/>
        <v>1</v>
      </c>
      <c r="AR16" s="513">
        <f t="shared" si="6"/>
        <v>1</v>
      </c>
      <c r="AS16" s="542">
        <f t="shared" si="6"/>
        <v>0</v>
      </c>
      <c r="AT16" s="545">
        <f t="shared" si="6"/>
        <v>0</v>
      </c>
      <c r="AU16" s="514">
        <f t="shared" si="6"/>
        <v>0</v>
      </c>
      <c r="AV16" s="515">
        <f t="shared" si="6"/>
        <v>0</v>
      </c>
      <c r="AW16" s="579">
        <f t="shared" si="6"/>
        <v>0</v>
      </c>
      <c r="AX16" s="516">
        <f t="shared" si="6"/>
        <v>0</v>
      </c>
      <c r="AY16" s="575">
        <f t="shared" si="6"/>
        <v>2</v>
      </c>
      <c r="AZ16" s="577">
        <f t="shared" si="6"/>
        <v>1</v>
      </c>
      <c r="BC16" s="359">
        <f t="shared" si="4"/>
        <v>44290</v>
      </c>
      <c r="BD16" s="360">
        <f>DATE(BC14,3,29.56+0.979*MOD(204-11*MOD(BC14,19),30)-WEEKDAY(DATE(BC14,3,28.56+0.979*MOD(204-11*MOD(BC14,19),30))))</f>
        <v>44290</v>
      </c>
      <c r="BE16" s="361" t="s">
        <v>585</v>
      </c>
      <c r="BF16" s="563"/>
      <c r="BG16" s="362" t="s">
        <v>723</v>
      </c>
      <c r="BH16" s="363">
        <f>DATE(BG14-1,12,25)</f>
        <v>44920</v>
      </c>
      <c r="BI16" s="563"/>
      <c r="BJ16" s="547" t="s">
        <v>80</v>
      </c>
      <c r="BK16" s="50">
        <v>0.33333333333333331</v>
      </c>
      <c r="BL16" s="50">
        <v>0.5</v>
      </c>
      <c r="BM16" s="51"/>
      <c r="BN16" s="589">
        <f>IF(BL16-BK16=0,0,(BL16-BK16)-(BM16*TIMEVALUE("00:30")))</f>
        <v>0.16666666666666669</v>
      </c>
      <c r="BO16" s="587" t="s">
        <v>63</v>
      </c>
      <c r="BP16" s="54"/>
      <c r="BQ16" s="55"/>
      <c r="BR16" s="56"/>
      <c r="BS16" s="56"/>
      <c r="BT16" s="56"/>
      <c r="BU16" s="56"/>
      <c r="BX16" s="1098"/>
      <c r="BY16" s="1139"/>
      <c r="BZ16" s="1139"/>
      <c r="CA16" s="1139"/>
      <c r="CB16" s="1139"/>
      <c r="CC16" s="1137"/>
      <c r="CD16" s="1139"/>
      <c r="CE16" s="1100"/>
      <c r="CF16" s="1161"/>
      <c r="CG16" s="1161"/>
      <c r="CH16" s="1165" t="s">
        <v>366</v>
      </c>
      <c r="CI16" s="1135"/>
      <c r="CJ16" s="1161"/>
      <c r="CK16" s="1135"/>
      <c r="CL16" s="1135"/>
      <c r="CM16" s="1163"/>
    </row>
    <row r="17" spans="2:91" ht="15" customHeight="1" x14ac:dyDescent="0.3">
      <c r="B17" s="556">
        <f>SUM(C17:AI17)</f>
        <v>0.95833333333333337</v>
      </c>
      <c r="C17" s="517">
        <f t="shared" ref="C17:AI17" si="7">IF(C16=$T$11,$T$12,IF(C16=$U$11,$U$12,IF(C16=$V$11,$V$12,IF(C16=$W$11,$W$12,IF(C16=$X$11,$X$12,"")))))</f>
        <v>0.125</v>
      </c>
      <c r="D17" s="517">
        <f t="shared" si="7"/>
        <v>0.29166666666666669</v>
      </c>
      <c r="E17" s="517">
        <f t="shared" si="7"/>
        <v>0.29166666666666669</v>
      </c>
      <c r="F17" s="517" t="str">
        <f t="shared" si="7"/>
        <v/>
      </c>
      <c r="G17" s="517" t="str">
        <f t="shared" si="7"/>
        <v/>
      </c>
      <c r="H17" s="517">
        <f t="shared" si="7"/>
        <v>0.25</v>
      </c>
      <c r="I17" s="517" t="str">
        <f t="shared" si="7"/>
        <v/>
      </c>
      <c r="J17" s="517" t="str">
        <f t="shared" si="7"/>
        <v/>
      </c>
      <c r="K17" s="517" t="str">
        <f t="shared" si="7"/>
        <v/>
      </c>
      <c r="L17" s="517" t="str">
        <f t="shared" si="7"/>
        <v/>
      </c>
      <c r="M17" s="517" t="str">
        <f t="shared" si="7"/>
        <v/>
      </c>
      <c r="N17" s="517" t="str">
        <f t="shared" si="7"/>
        <v/>
      </c>
      <c r="O17" s="517" t="str">
        <f t="shared" si="7"/>
        <v/>
      </c>
      <c r="P17" s="517" t="str">
        <f t="shared" si="7"/>
        <v/>
      </c>
      <c r="Q17" s="517" t="str">
        <f t="shared" si="7"/>
        <v/>
      </c>
      <c r="R17" s="517" t="str">
        <f t="shared" si="7"/>
        <v/>
      </c>
      <c r="S17" s="517" t="str">
        <f t="shared" si="7"/>
        <v/>
      </c>
      <c r="T17" s="517" t="str">
        <f t="shared" si="7"/>
        <v/>
      </c>
      <c r="U17" s="517" t="str">
        <f t="shared" si="7"/>
        <v/>
      </c>
      <c r="V17" s="517" t="str">
        <f t="shared" si="7"/>
        <v/>
      </c>
      <c r="W17" s="517" t="str">
        <f t="shared" si="7"/>
        <v/>
      </c>
      <c r="X17" s="517" t="str">
        <f t="shared" si="7"/>
        <v/>
      </c>
      <c r="Y17" s="517" t="str">
        <f t="shared" si="7"/>
        <v/>
      </c>
      <c r="Z17" s="517" t="str">
        <f t="shared" si="7"/>
        <v/>
      </c>
      <c r="AA17" s="517" t="str">
        <f t="shared" si="7"/>
        <v/>
      </c>
      <c r="AB17" s="517" t="str">
        <f t="shared" si="7"/>
        <v/>
      </c>
      <c r="AC17" s="517" t="str">
        <f t="shared" si="7"/>
        <v/>
      </c>
      <c r="AD17" s="517" t="str">
        <f t="shared" si="7"/>
        <v/>
      </c>
      <c r="AE17" s="517" t="str">
        <f t="shared" si="7"/>
        <v/>
      </c>
      <c r="AF17" s="517" t="str">
        <f t="shared" si="7"/>
        <v/>
      </c>
      <c r="AG17" s="517" t="str">
        <f t="shared" si="7"/>
        <v/>
      </c>
      <c r="AH17" s="517" t="str">
        <f t="shared" si="7"/>
        <v/>
      </c>
      <c r="AI17" s="517" t="str">
        <f t="shared" si="7"/>
        <v/>
      </c>
      <c r="AJ17" s="518"/>
      <c r="AK17" s="563"/>
      <c r="AL17" s="565"/>
      <c r="AM17" s="558">
        <f>SUM(C17:AI17)</f>
        <v>0.95833333333333337</v>
      </c>
      <c r="AY17" s="574"/>
      <c r="AZ17" s="509"/>
      <c r="BC17" s="359">
        <f t="shared" si="4"/>
        <v>44291</v>
      </c>
      <c r="BD17" s="360">
        <f>BD16+1</f>
        <v>44291</v>
      </c>
      <c r="BE17" s="361" t="s">
        <v>725</v>
      </c>
      <c r="BF17" s="563"/>
      <c r="BG17" s="364" t="s">
        <v>721</v>
      </c>
      <c r="BH17" s="365">
        <f>DATE(BG14,1,1)</f>
        <v>44927</v>
      </c>
      <c r="BI17" s="563"/>
      <c r="BN17" s="585"/>
      <c r="BO17" s="588"/>
      <c r="BP17" s="56"/>
      <c r="BQ17" s="56"/>
      <c r="BR17" s="56"/>
      <c r="BS17" s="56"/>
      <c r="BT17" s="56"/>
      <c r="BU17" s="56"/>
      <c r="BX17" s="1130"/>
      <c r="BY17" s="1140"/>
      <c r="BZ17" s="1140"/>
      <c r="CA17" s="1140"/>
      <c r="CB17" s="1140"/>
      <c r="CC17" s="1140"/>
      <c r="CD17" s="1140"/>
      <c r="CE17" s="1140"/>
      <c r="CF17" s="1132"/>
      <c r="CG17" s="1132"/>
      <c r="CH17" s="1133"/>
      <c r="CI17" s="1132"/>
      <c r="CJ17" s="1132"/>
      <c r="CK17" s="1132"/>
      <c r="CL17" s="1132"/>
      <c r="CM17" s="1164"/>
    </row>
    <row r="18" spans="2:91" ht="27" customHeight="1" x14ac:dyDescent="0.3">
      <c r="B18" s="557" t="s">
        <v>724</v>
      </c>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12"/>
      <c r="AK18" s="563"/>
      <c r="AL18" s="565"/>
      <c r="AM18" s="560" t="str">
        <f t="shared" si="5"/>
        <v>Emile</v>
      </c>
      <c r="AN18" s="513">
        <f>COUNTIF($C18:$AI18,AN$14)</f>
        <v>0</v>
      </c>
      <c r="AO18" s="513">
        <f>COUNTIF($C18:$AI18,AO$14)</f>
        <v>0</v>
      </c>
      <c r="AP18" s="513">
        <f t="shared" si="6"/>
        <v>0</v>
      </c>
      <c r="AQ18" s="513">
        <f t="shared" si="6"/>
        <v>0</v>
      </c>
      <c r="AR18" s="513">
        <f t="shared" si="6"/>
        <v>0</v>
      </c>
      <c r="AS18" s="542">
        <f t="shared" si="6"/>
        <v>0</v>
      </c>
      <c r="AT18" s="545">
        <f t="shared" si="6"/>
        <v>0</v>
      </c>
      <c r="AU18" s="514">
        <f t="shared" si="6"/>
        <v>0</v>
      </c>
      <c r="AV18" s="515">
        <f t="shared" si="6"/>
        <v>0</v>
      </c>
      <c r="AW18" s="579">
        <f t="shared" si="6"/>
        <v>0</v>
      </c>
      <c r="AX18" s="516">
        <f t="shared" si="6"/>
        <v>0</v>
      </c>
      <c r="AY18" s="575">
        <f t="shared" si="6"/>
        <v>0</v>
      </c>
      <c r="AZ18" s="577">
        <f t="shared" si="6"/>
        <v>0</v>
      </c>
      <c r="BC18" s="359">
        <f t="shared" si="4"/>
        <v>44317</v>
      </c>
      <c r="BD18" s="360">
        <f>DATE(BC14,5,1)</f>
        <v>44317</v>
      </c>
      <c r="BE18" s="361" t="s">
        <v>726</v>
      </c>
      <c r="BF18" s="563"/>
      <c r="BG18" s="362" t="s">
        <v>585</v>
      </c>
      <c r="BH18" s="363">
        <f>ROUND(DATE(BG14,4,MOD(234-11*MOD(BG14,19),30))/7,)*7-6</f>
        <v>45025</v>
      </c>
      <c r="BI18" s="563"/>
      <c r="BJ18" s="547" t="s">
        <v>81</v>
      </c>
      <c r="BK18" s="50">
        <v>0.33333333333333331</v>
      </c>
      <c r="BL18" s="50">
        <v>0.5</v>
      </c>
      <c r="BM18" s="51"/>
      <c r="BN18" s="589">
        <f>IF(BL18-BK18=0,0,(BL18-BK18)-(BM18*TIMEVALUE("00:30")))</f>
        <v>0.16666666666666669</v>
      </c>
      <c r="BO18" s="587" t="s">
        <v>64</v>
      </c>
      <c r="BP18" s="54"/>
      <c r="BQ18" s="55"/>
      <c r="BR18" s="56"/>
      <c r="BS18" s="56"/>
      <c r="BT18" s="56"/>
      <c r="BU18" s="56"/>
      <c r="BX18" s="1098"/>
      <c r="BY18" s="1100"/>
      <c r="BZ18" s="1174" t="s">
        <v>658</v>
      </c>
      <c r="CA18" s="1137" t="s">
        <v>659</v>
      </c>
      <c r="CB18" s="1140"/>
      <c r="CC18" s="1140"/>
      <c r="CD18" s="1140"/>
      <c r="CE18" s="1140"/>
      <c r="CF18" s="1132"/>
      <c r="CG18" s="1132"/>
      <c r="CH18" s="1113" t="s">
        <v>7</v>
      </c>
      <c r="CI18" s="1111" t="s">
        <v>370</v>
      </c>
      <c r="CJ18" s="1135"/>
      <c r="CK18" s="1111"/>
      <c r="CL18" s="1111"/>
      <c r="CM18" s="1166"/>
    </row>
    <row r="19" spans="2:91" ht="15" customHeight="1" x14ac:dyDescent="0.3">
      <c r="B19" s="556">
        <f>SUM(C19:AI19)</f>
        <v>0</v>
      </c>
      <c r="C19" s="517" t="str">
        <f t="shared" ref="C19:AI19" si="8">IF(C18=$T$11,$T$12,IF(C18=$U$11,$U$12,IF(C18=$V$11,$V$12,IF(C18=$W$11,$W$12,IF(C18=$X$11,$X$12,"")))))</f>
        <v/>
      </c>
      <c r="D19" s="517" t="str">
        <f t="shared" si="8"/>
        <v/>
      </c>
      <c r="E19" s="517" t="str">
        <f t="shared" si="8"/>
        <v/>
      </c>
      <c r="F19" s="517" t="str">
        <f t="shared" si="8"/>
        <v/>
      </c>
      <c r="G19" s="517" t="str">
        <f t="shared" si="8"/>
        <v/>
      </c>
      <c r="H19" s="517" t="str">
        <f t="shared" si="8"/>
        <v/>
      </c>
      <c r="I19" s="517" t="str">
        <f t="shared" si="8"/>
        <v/>
      </c>
      <c r="J19" s="517" t="str">
        <f t="shared" si="8"/>
        <v/>
      </c>
      <c r="K19" s="517" t="str">
        <f t="shared" si="8"/>
        <v/>
      </c>
      <c r="L19" s="517" t="str">
        <f t="shared" si="8"/>
        <v/>
      </c>
      <c r="M19" s="517" t="str">
        <f t="shared" si="8"/>
        <v/>
      </c>
      <c r="N19" s="517" t="str">
        <f t="shared" si="8"/>
        <v/>
      </c>
      <c r="O19" s="517" t="str">
        <f t="shared" si="8"/>
        <v/>
      </c>
      <c r="P19" s="517" t="str">
        <f t="shared" si="8"/>
        <v/>
      </c>
      <c r="Q19" s="517" t="str">
        <f t="shared" si="8"/>
        <v/>
      </c>
      <c r="R19" s="517" t="str">
        <f t="shared" si="8"/>
        <v/>
      </c>
      <c r="S19" s="517" t="str">
        <f t="shared" si="8"/>
        <v/>
      </c>
      <c r="T19" s="517" t="str">
        <f t="shared" si="8"/>
        <v/>
      </c>
      <c r="U19" s="517" t="str">
        <f t="shared" si="8"/>
        <v/>
      </c>
      <c r="V19" s="517" t="str">
        <f t="shared" si="8"/>
        <v/>
      </c>
      <c r="W19" s="517" t="str">
        <f t="shared" si="8"/>
        <v/>
      </c>
      <c r="X19" s="517" t="str">
        <f t="shared" si="8"/>
        <v/>
      </c>
      <c r="Y19" s="517" t="str">
        <f t="shared" si="8"/>
        <v/>
      </c>
      <c r="Z19" s="517" t="str">
        <f t="shared" si="8"/>
        <v/>
      </c>
      <c r="AA19" s="517" t="str">
        <f t="shared" si="8"/>
        <v/>
      </c>
      <c r="AB19" s="517" t="str">
        <f t="shared" si="8"/>
        <v/>
      </c>
      <c r="AC19" s="517" t="str">
        <f t="shared" si="8"/>
        <v/>
      </c>
      <c r="AD19" s="517" t="str">
        <f t="shared" si="8"/>
        <v/>
      </c>
      <c r="AE19" s="517" t="str">
        <f t="shared" si="8"/>
        <v/>
      </c>
      <c r="AF19" s="517" t="str">
        <f t="shared" si="8"/>
        <v/>
      </c>
      <c r="AG19" s="517" t="str">
        <f t="shared" si="8"/>
        <v/>
      </c>
      <c r="AH19" s="517" t="str">
        <f t="shared" si="8"/>
        <v/>
      </c>
      <c r="AI19" s="517" t="str">
        <f t="shared" si="8"/>
        <v/>
      </c>
      <c r="AJ19" s="518"/>
      <c r="AK19" s="563"/>
      <c r="AL19" s="565"/>
      <c r="AM19" s="561">
        <f>SUM(C19:AI19)</f>
        <v>0</v>
      </c>
      <c r="AZ19" s="509"/>
      <c r="BC19" s="359">
        <f t="shared" si="4"/>
        <v>44324</v>
      </c>
      <c r="BD19" s="360">
        <f>DATE(BC14,5,8)</f>
        <v>44324</v>
      </c>
      <c r="BE19" s="361" t="s">
        <v>728</v>
      </c>
      <c r="BF19" s="563"/>
      <c r="BG19" s="362" t="s">
        <v>725</v>
      </c>
      <c r="BH19" s="363">
        <f>BH18+1</f>
        <v>45026</v>
      </c>
      <c r="BI19" s="563"/>
      <c r="BN19" s="585"/>
      <c r="BO19" s="588"/>
      <c r="BP19" s="56"/>
      <c r="BQ19" s="56"/>
      <c r="BR19" s="56"/>
      <c r="BS19" s="56"/>
      <c r="BT19" s="56"/>
      <c r="BU19" s="56"/>
      <c r="BX19" s="1130"/>
      <c r="BY19" s="1140"/>
      <c r="BZ19" s="1140"/>
      <c r="CA19" s="1140"/>
      <c r="CB19" s="1140"/>
      <c r="CC19" s="1140"/>
      <c r="CD19" s="1140"/>
      <c r="CE19" s="1140"/>
      <c r="CF19" s="1132"/>
      <c r="CG19" s="1132"/>
      <c r="CH19" s="1133"/>
      <c r="CI19" s="1132"/>
      <c r="CJ19" s="1132"/>
      <c r="CK19" s="1132"/>
      <c r="CL19" s="1132"/>
      <c r="CM19" s="1164"/>
    </row>
    <row r="20" spans="2:91" ht="27" customHeight="1" x14ac:dyDescent="0.25">
      <c r="B20" s="557" t="s">
        <v>727</v>
      </c>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19"/>
      <c r="AK20" s="563"/>
      <c r="AL20" s="565"/>
      <c r="AM20" s="559" t="str">
        <f t="shared" si="5"/>
        <v>Marcel</v>
      </c>
      <c r="AN20" s="513">
        <f>COUNTIF($C20:$AI20,AN$14)</f>
        <v>0</v>
      </c>
      <c r="AO20" s="513">
        <f>COUNTIF($C20:$AI20,AO$14)</f>
        <v>0</v>
      </c>
      <c r="AP20" s="513">
        <f t="shared" si="6"/>
        <v>0</v>
      </c>
      <c r="AQ20" s="513">
        <f t="shared" si="6"/>
        <v>0</v>
      </c>
      <c r="AR20" s="513">
        <f t="shared" si="6"/>
        <v>0</v>
      </c>
      <c r="AS20" s="542">
        <f t="shared" si="6"/>
        <v>0</v>
      </c>
      <c r="AT20" s="545">
        <f t="shared" si="6"/>
        <v>0</v>
      </c>
      <c r="AU20" s="514">
        <f t="shared" si="6"/>
        <v>0</v>
      </c>
      <c r="AV20" s="515">
        <f t="shared" si="6"/>
        <v>0</v>
      </c>
      <c r="AW20" s="579">
        <f t="shared" si="6"/>
        <v>0</v>
      </c>
      <c r="AX20" s="516">
        <f t="shared" si="6"/>
        <v>0</v>
      </c>
      <c r="AY20" s="575">
        <f t="shared" si="6"/>
        <v>0</v>
      </c>
      <c r="AZ20" s="577">
        <f t="shared" si="6"/>
        <v>0</v>
      </c>
      <c r="BC20" s="359">
        <f t="shared" si="4"/>
        <v>44329</v>
      </c>
      <c r="BD20" s="360">
        <f>BD16+39</f>
        <v>44329</v>
      </c>
      <c r="BE20" s="361" t="s">
        <v>729</v>
      </c>
      <c r="BF20" s="563"/>
      <c r="BG20" s="362" t="s">
        <v>726</v>
      </c>
      <c r="BH20" s="363">
        <f>DATE(BG14,5,1)</f>
        <v>45047</v>
      </c>
      <c r="BI20" s="563"/>
      <c r="BJ20" s="547" t="s">
        <v>82</v>
      </c>
      <c r="BK20" s="50">
        <v>0.29166666666666669</v>
      </c>
      <c r="BL20" s="50">
        <v>0.5625</v>
      </c>
      <c r="BM20" s="51">
        <v>1</v>
      </c>
      <c r="BN20" s="589">
        <f>IF(BL20-BK20=0,0,(BL20-BK20)-(BM20*TIMEVALUE("00:30")))</f>
        <v>0.24999999999999997</v>
      </c>
      <c r="BO20" s="587" t="s">
        <v>782</v>
      </c>
      <c r="BP20" s="54"/>
      <c r="BQ20" s="55"/>
      <c r="BR20" s="56"/>
      <c r="BS20" s="56"/>
      <c r="BT20" s="56"/>
      <c r="BU20" s="56"/>
      <c r="BX20" s="1098"/>
      <c r="BY20" s="1100"/>
      <c r="BZ20" s="1174" t="s">
        <v>660</v>
      </c>
      <c r="CA20" s="1173" t="s">
        <v>661</v>
      </c>
      <c r="CB20" s="1137"/>
      <c r="CC20" s="1137"/>
      <c r="CD20" s="1137"/>
      <c r="CE20" s="1139"/>
      <c r="CF20" s="1135"/>
      <c r="CG20" s="1135"/>
      <c r="CH20" s="1115" t="s">
        <v>8</v>
      </c>
      <c r="CI20" s="1111" t="s">
        <v>367</v>
      </c>
      <c r="CJ20" s="1135"/>
      <c r="CK20" s="1111"/>
      <c r="CL20" s="1111"/>
      <c r="CM20" s="1166"/>
    </row>
    <row r="21" spans="2:91" ht="15" customHeight="1" x14ac:dyDescent="0.3">
      <c r="B21" s="556">
        <f>SUM(C21:AI21)</f>
        <v>0</v>
      </c>
      <c r="C21" s="517" t="str">
        <f t="shared" ref="C21:AI21" si="9">IF(C20=$T$11,$T$12,IF(C20=$U$11,$U$12,IF(C20=$V$11,$V$12,IF(C20=$W$11,$W$12,IF(C20=$X$11,$X$12,"")))))</f>
        <v/>
      </c>
      <c r="D21" s="517" t="str">
        <f t="shared" si="9"/>
        <v/>
      </c>
      <c r="E21" s="517" t="str">
        <f t="shared" si="9"/>
        <v/>
      </c>
      <c r="F21" s="517" t="str">
        <f t="shared" si="9"/>
        <v/>
      </c>
      <c r="G21" s="517" t="str">
        <f t="shared" si="9"/>
        <v/>
      </c>
      <c r="H21" s="517" t="str">
        <f t="shared" si="9"/>
        <v/>
      </c>
      <c r="I21" s="517" t="str">
        <f t="shared" si="9"/>
        <v/>
      </c>
      <c r="J21" s="517" t="str">
        <f t="shared" si="9"/>
        <v/>
      </c>
      <c r="K21" s="517" t="str">
        <f t="shared" si="9"/>
        <v/>
      </c>
      <c r="L21" s="517" t="str">
        <f t="shared" si="9"/>
        <v/>
      </c>
      <c r="M21" s="517" t="str">
        <f t="shared" si="9"/>
        <v/>
      </c>
      <c r="N21" s="517" t="str">
        <f t="shared" si="9"/>
        <v/>
      </c>
      <c r="O21" s="517" t="str">
        <f t="shared" si="9"/>
        <v/>
      </c>
      <c r="P21" s="517" t="str">
        <f t="shared" si="9"/>
        <v/>
      </c>
      <c r="Q21" s="517" t="str">
        <f t="shared" si="9"/>
        <v/>
      </c>
      <c r="R21" s="517" t="str">
        <f t="shared" si="9"/>
        <v/>
      </c>
      <c r="S21" s="517" t="str">
        <f t="shared" si="9"/>
        <v/>
      </c>
      <c r="T21" s="517" t="str">
        <f t="shared" si="9"/>
        <v/>
      </c>
      <c r="U21" s="517" t="str">
        <f t="shared" si="9"/>
        <v/>
      </c>
      <c r="V21" s="517" t="str">
        <f t="shared" si="9"/>
        <v/>
      </c>
      <c r="W21" s="517" t="str">
        <f t="shared" si="9"/>
        <v/>
      </c>
      <c r="X21" s="517" t="str">
        <f t="shared" si="9"/>
        <v/>
      </c>
      <c r="Y21" s="517" t="str">
        <f t="shared" si="9"/>
        <v/>
      </c>
      <c r="Z21" s="517" t="str">
        <f t="shared" si="9"/>
        <v/>
      </c>
      <c r="AA21" s="517" t="str">
        <f t="shared" si="9"/>
        <v/>
      </c>
      <c r="AB21" s="517" t="str">
        <f t="shared" si="9"/>
        <v/>
      </c>
      <c r="AC21" s="517" t="str">
        <f t="shared" si="9"/>
        <v/>
      </c>
      <c r="AD21" s="517" t="str">
        <f t="shared" si="9"/>
        <v/>
      </c>
      <c r="AE21" s="517" t="str">
        <f t="shared" si="9"/>
        <v/>
      </c>
      <c r="AF21" s="517" t="str">
        <f t="shared" si="9"/>
        <v/>
      </c>
      <c r="AG21" s="517" t="str">
        <f t="shared" si="9"/>
        <v/>
      </c>
      <c r="AH21" s="517" t="str">
        <f t="shared" si="9"/>
        <v/>
      </c>
      <c r="AI21" s="517" t="str">
        <f t="shared" si="9"/>
        <v/>
      </c>
      <c r="AJ21" s="518"/>
      <c r="AK21" s="563"/>
      <c r="AL21" s="565"/>
      <c r="AM21" s="558">
        <f>SUM(C21:AI21)</f>
        <v>0</v>
      </c>
      <c r="AZ21" s="509"/>
      <c r="BC21" s="359">
        <f t="shared" si="4"/>
        <v>44339</v>
      </c>
      <c r="BD21" s="360">
        <f>BD16+49</f>
        <v>44339</v>
      </c>
      <c r="BE21" s="361" t="s">
        <v>731</v>
      </c>
      <c r="BF21" s="563"/>
      <c r="BG21" s="362" t="s">
        <v>728</v>
      </c>
      <c r="BH21" s="363">
        <f>DATE(BG14,5,8)</f>
        <v>45054</v>
      </c>
      <c r="BI21" s="563"/>
      <c r="BJ21" s="497"/>
      <c r="BK21" s="497"/>
      <c r="BL21" s="497"/>
      <c r="BM21" s="497"/>
      <c r="BN21" s="581"/>
      <c r="BO21" s="583"/>
      <c r="BP21" s="563"/>
      <c r="BQ21" s="563"/>
      <c r="BR21" s="563"/>
      <c r="BS21" s="563"/>
      <c r="BT21" s="563"/>
      <c r="BU21" s="563"/>
      <c r="BX21" s="1130"/>
      <c r="BY21" s="1140"/>
      <c r="BZ21" s="1140"/>
      <c r="CA21" s="1140"/>
      <c r="CB21" s="1140"/>
      <c r="CC21" s="1140"/>
      <c r="CD21" s="1140"/>
      <c r="CE21" s="1140"/>
      <c r="CF21" s="1132"/>
      <c r="CG21" s="1132"/>
      <c r="CH21" s="1133"/>
      <c r="CI21" s="1132"/>
      <c r="CJ21" s="1132"/>
      <c r="CK21" s="1132"/>
      <c r="CL21" s="1132"/>
      <c r="CM21" s="1164"/>
    </row>
    <row r="22" spans="2:91" ht="27" customHeight="1" x14ac:dyDescent="0.3">
      <c r="B22" s="557" t="s">
        <v>730</v>
      </c>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12"/>
      <c r="AK22" s="563"/>
      <c r="AL22" s="565"/>
      <c r="AM22" s="560" t="str">
        <f t="shared" si="5"/>
        <v>Romain</v>
      </c>
      <c r="AN22" s="513">
        <f>COUNTIF($C22:$AI22,AN$14)</f>
        <v>0</v>
      </c>
      <c r="AO22" s="513">
        <f>COUNTIF($C22:$AI22,AO$14)</f>
        <v>0</v>
      </c>
      <c r="AP22" s="513">
        <f t="shared" si="6"/>
        <v>0</v>
      </c>
      <c r="AQ22" s="513">
        <f t="shared" si="6"/>
        <v>0</v>
      </c>
      <c r="AR22" s="513">
        <f t="shared" si="6"/>
        <v>0</v>
      </c>
      <c r="AS22" s="542">
        <f t="shared" si="6"/>
        <v>0</v>
      </c>
      <c r="AT22" s="545">
        <f t="shared" si="6"/>
        <v>0</v>
      </c>
      <c r="AU22" s="514">
        <f t="shared" si="6"/>
        <v>0</v>
      </c>
      <c r="AV22" s="515">
        <f t="shared" si="6"/>
        <v>0</v>
      </c>
      <c r="AW22" s="579">
        <f t="shared" si="6"/>
        <v>0</v>
      </c>
      <c r="AX22" s="516">
        <f t="shared" si="6"/>
        <v>0</v>
      </c>
      <c r="AY22" s="575">
        <f t="shared" si="6"/>
        <v>0</v>
      </c>
      <c r="AZ22" s="577">
        <f t="shared" si="6"/>
        <v>0</v>
      </c>
      <c r="BC22" s="359">
        <f t="shared" si="4"/>
        <v>44340</v>
      </c>
      <c r="BD22" s="360">
        <f>BD21+1</f>
        <v>44340</v>
      </c>
      <c r="BE22" s="361" t="s">
        <v>732</v>
      </c>
      <c r="BF22" s="563"/>
      <c r="BG22" s="362" t="s">
        <v>729</v>
      </c>
      <c r="BH22" s="363">
        <f>BH18+39</f>
        <v>45064</v>
      </c>
      <c r="BI22" s="563"/>
      <c r="BJ22" s="547" t="s">
        <v>83</v>
      </c>
      <c r="BK22" s="50">
        <v>0.375</v>
      </c>
      <c r="BL22" s="50">
        <v>0.54166666666666663</v>
      </c>
      <c r="BM22" s="51">
        <v>0</v>
      </c>
      <c r="BN22" s="589">
        <f>IF(BL22-BK22=0,0,(BL22-BK22)-(BM22*TIMEVALUE("00:30")))</f>
        <v>0.16666666666666663</v>
      </c>
      <c r="BO22" s="587" t="s">
        <v>65</v>
      </c>
      <c r="BP22" s="54"/>
      <c r="BQ22" s="55"/>
      <c r="BR22" s="56"/>
      <c r="BS22" s="56"/>
      <c r="BT22" s="56"/>
      <c r="BU22" s="56"/>
      <c r="BX22" s="1098"/>
      <c r="BY22" s="1100"/>
      <c r="BZ22" s="1174" t="s">
        <v>371</v>
      </c>
      <c r="CA22" s="1173" t="s">
        <v>372</v>
      </c>
      <c r="CB22" s="1137"/>
      <c r="CC22" s="1137"/>
      <c r="CD22" s="1137"/>
      <c r="CE22" s="1139"/>
      <c r="CF22" s="1135"/>
      <c r="CG22" s="1135"/>
      <c r="CH22" s="1167" t="s">
        <v>364</v>
      </c>
      <c r="CI22" s="1111" t="s">
        <v>365</v>
      </c>
      <c r="CJ22" s="1135"/>
      <c r="CK22" s="1111"/>
      <c r="CL22" s="1111"/>
      <c r="CM22" s="1166"/>
    </row>
    <row r="23" spans="2:91" ht="15" customHeight="1" x14ac:dyDescent="0.3">
      <c r="B23" s="556">
        <f>SUM(C23:AI23)</f>
        <v>0</v>
      </c>
      <c r="C23" s="517" t="str">
        <f t="shared" ref="C23:AI23" si="10">IF(C22=$T$11,$T$12,IF(C22=$U$11,$U$12,IF(C22=$V$11,$V$12,IF(C22=$W$11,$W$12,IF(C22=$X$11,$X$12,"")))))</f>
        <v/>
      </c>
      <c r="D23" s="517" t="str">
        <f t="shared" si="10"/>
        <v/>
      </c>
      <c r="E23" s="517" t="str">
        <f t="shared" si="10"/>
        <v/>
      </c>
      <c r="F23" s="517" t="str">
        <f t="shared" si="10"/>
        <v/>
      </c>
      <c r="G23" s="517" t="str">
        <f t="shared" si="10"/>
        <v/>
      </c>
      <c r="H23" s="517" t="str">
        <f t="shared" si="10"/>
        <v/>
      </c>
      <c r="I23" s="517" t="str">
        <f t="shared" si="10"/>
        <v/>
      </c>
      <c r="J23" s="517" t="str">
        <f t="shared" si="10"/>
        <v/>
      </c>
      <c r="K23" s="517" t="str">
        <f t="shared" si="10"/>
        <v/>
      </c>
      <c r="L23" s="517" t="str">
        <f t="shared" si="10"/>
        <v/>
      </c>
      <c r="M23" s="517" t="str">
        <f t="shared" si="10"/>
        <v/>
      </c>
      <c r="N23" s="517" t="str">
        <f t="shared" si="10"/>
        <v/>
      </c>
      <c r="O23" s="517" t="str">
        <f t="shared" si="10"/>
        <v/>
      </c>
      <c r="P23" s="517" t="str">
        <f t="shared" si="10"/>
        <v/>
      </c>
      <c r="Q23" s="517" t="str">
        <f t="shared" si="10"/>
        <v/>
      </c>
      <c r="R23" s="517" t="str">
        <f t="shared" si="10"/>
        <v/>
      </c>
      <c r="S23" s="517" t="str">
        <f t="shared" si="10"/>
        <v/>
      </c>
      <c r="T23" s="517" t="str">
        <f t="shared" si="10"/>
        <v/>
      </c>
      <c r="U23" s="517" t="str">
        <f t="shared" si="10"/>
        <v/>
      </c>
      <c r="V23" s="517" t="str">
        <f t="shared" si="10"/>
        <v/>
      </c>
      <c r="W23" s="517" t="str">
        <f t="shared" si="10"/>
        <v/>
      </c>
      <c r="X23" s="517" t="str">
        <f t="shared" si="10"/>
        <v/>
      </c>
      <c r="Y23" s="517" t="str">
        <f t="shared" si="10"/>
        <v/>
      </c>
      <c r="Z23" s="517" t="str">
        <f t="shared" si="10"/>
        <v/>
      </c>
      <c r="AA23" s="517" t="str">
        <f t="shared" si="10"/>
        <v/>
      </c>
      <c r="AB23" s="517" t="str">
        <f t="shared" si="10"/>
        <v/>
      </c>
      <c r="AC23" s="517" t="str">
        <f t="shared" si="10"/>
        <v/>
      </c>
      <c r="AD23" s="517" t="str">
        <f t="shared" si="10"/>
        <v/>
      </c>
      <c r="AE23" s="517" t="str">
        <f t="shared" si="10"/>
        <v/>
      </c>
      <c r="AF23" s="517" t="str">
        <f t="shared" si="10"/>
        <v/>
      </c>
      <c r="AG23" s="517" t="str">
        <f t="shared" si="10"/>
        <v/>
      </c>
      <c r="AH23" s="517" t="str">
        <f t="shared" si="10"/>
        <v/>
      </c>
      <c r="AI23" s="517" t="str">
        <f t="shared" si="10"/>
        <v/>
      </c>
      <c r="AJ23" s="518"/>
      <c r="AK23" s="563"/>
      <c r="AL23" s="563"/>
      <c r="AM23" s="561">
        <f>SUM(C23:AI23)</f>
        <v>0</v>
      </c>
      <c r="AZ23" s="509"/>
      <c r="BC23" s="359">
        <f t="shared" si="4"/>
        <v>44391</v>
      </c>
      <c r="BD23" s="360">
        <f>DATE(BC14,7,14)</f>
        <v>44391</v>
      </c>
      <c r="BE23" s="361" t="s">
        <v>733</v>
      </c>
      <c r="BF23" s="563"/>
      <c r="BG23" s="362" t="s">
        <v>731</v>
      </c>
      <c r="BH23" s="363">
        <f>BH18+49</f>
        <v>45074</v>
      </c>
      <c r="BI23" s="563"/>
      <c r="BJ23" s="70"/>
      <c r="BK23" s="57"/>
      <c r="BL23" s="57"/>
      <c r="BM23" s="57"/>
      <c r="BN23" s="586"/>
      <c r="BO23" s="1258"/>
      <c r="BP23" s="54"/>
      <c r="BQ23" s="55"/>
      <c r="BR23" s="56"/>
      <c r="BS23" s="56"/>
      <c r="BT23" s="56"/>
      <c r="BU23" s="56"/>
      <c r="BX23" s="1130"/>
      <c r="BY23" s="1140"/>
      <c r="BZ23" s="1140"/>
      <c r="CA23" s="1140"/>
      <c r="CB23" s="1140"/>
      <c r="CC23" s="1140"/>
      <c r="CD23" s="1140"/>
      <c r="CE23" s="1140"/>
      <c r="CF23" s="1132"/>
      <c r="CG23" s="1132"/>
      <c r="CH23" s="1133"/>
      <c r="CI23" s="1132"/>
      <c r="CJ23" s="1132"/>
      <c r="CK23" s="1132"/>
      <c r="CL23" s="1132"/>
      <c r="CM23" s="1164"/>
    </row>
    <row r="24" spans="2:91" ht="27" customHeight="1" x14ac:dyDescent="0.3">
      <c r="B24" s="557" t="s">
        <v>734</v>
      </c>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12"/>
      <c r="AK24" s="563"/>
      <c r="AL24" s="563"/>
      <c r="AM24" s="559" t="str">
        <f t="shared" si="5"/>
        <v>Lucienne</v>
      </c>
      <c r="AN24" s="513">
        <f>COUNTIF($C24:$AI24,AN$14)</f>
        <v>0</v>
      </c>
      <c r="AO24" s="513">
        <f>COUNTIF($C24:$AI24,AO$14)</f>
        <v>0</v>
      </c>
      <c r="AP24" s="513">
        <f t="shared" ref="AP24:AX24" si="11">COUNTIF($C24:$AI24,AP$14)</f>
        <v>0</v>
      </c>
      <c r="AQ24" s="513">
        <f t="shared" si="11"/>
        <v>0</v>
      </c>
      <c r="AR24" s="513">
        <f t="shared" si="11"/>
        <v>0</v>
      </c>
      <c r="AS24" s="542">
        <f t="shared" si="11"/>
        <v>0</v>
      </c>
      <c r="AT24" s="545">
        <f t="shared" si="11"/>
        <v>0</v>
      </c>
      <c r="AU24" s="514">
        <f t="shared" si="11"/>
        <v>0</v>
      </c>
      <c r="AV24" s="515">
        <f t="shared" si="11"/>
        <v>0</v>
      </c>
      <c r="AW24" s="579">
        <f t="shared" si="11"/>
        <v>0</v>
      </c>
      <c r="AX24" s="516">
        <f t="shared" si="11"/>
        <v>0</v>
      </c>
      <c r="AY24" s="575">
        <f t="shared" si="6"/>
        <v>0</v>
      </c>
      <c r="AZ24" s="577">
        <f t="shared" si="6"/>
        <v>0</v>
      </c>
      <c r="BC24" s="359">
        <f t="shared" si="4"/>
        <v>44423</v>
      </c>
      <c r="BD24" s="360">
        <f>DATE(BC14,8,15)</f>
        <v>44423</v>
      </c>
      <c r="BE24" s="361" t="s">
        <v>586</v>
      </c>
      <c r="BF24" s="563"/>
      <c r="BG24" s="362" t="s">
        <v>732</v>
      </c>
      <c r="BH24" s="363">
        <f>BH18+50</f>
        <v>45075</v>
      </c>
      <c r="BI24" s="563"/>
      <c r="BJ24" s="547" t="s">
        <v>84</v>
      </c>
      <c r="BK24" s="50">
        <v>0.33333333333333331</v>
      </c>
      <c r="BL24" s="50">
        <v>0.5</v>
      </c>
      <c r="BM24" s="51">
        <v>0</v>
      </c>
      <c r="BN24" s="589">
        <f>IF(BL24-BK24=0,0,(BL24-BK24)-(BM24*TIMEVALUE("00:30")))</f>
        <v>0.16666666666666669</v>
      </c>
      <c r="BO24" s="587" t="s">
        <v>66</v>
      </c>
      <c r="BP24" s="54"/>
      <c r="BQ24" s="55"/>
      <c r="BR24" s="56"/>
      <c r="BS24" s="56"/>
      <c r="BT24" s="56"/>
      <c r="BU24" s="56"/>
      <c r="BX24" s="1098"/>
      <c r="BY24" s="1100"/>
      <c r="BZ24" s="1174" t="s">
        <v>354</v>
      </c>
      <c r="CA24" s="1173" t="s">
        <v>355</v>
      </c>
      <c r="CB24" s="1137"/>
      <c r="CC24" s="1137"/>
      <c r="CD24" s="1137"/>
      <c r="CE24" s="1139"/>
      <c r="CF24" s="1135"/>
      <c r="CG24" s="1135"/>
      <c r="CH24" s="1168" t="s">
        <v>373</v>
      </c>
      <c r="CI24" s="1114" t="s">
        <v>374</v>
      </c>
      <c r="CJ24" s="1135"/>
      <c r="CK24" s="1111"/>
      <c r="CL24" s="1111"/>
      <c r="CM24" s="1166"/>
    </row>
    <row r="25" spans="2:91" ht="15" customHeight="1" x14ac:dyDescent="0.3">
      <c r="B25" s="556">
        <f>SUM(C25:AI25)</f>
        <v>0</v>
      </c>
      <c r="C25" s="517" t="str">
        <f t="shared" ref="C25:AI25" si="12">IF(C24=$T$11,$T$12,IF(C24=$U$11,$U$12,IF(C24=$V$11,$V$12,IF(C24=$W$11,$W$12,IF(C24=$X$11,$X$12,"")))))</f>
        <v/>
      </c>
      <c r="D25" s="517" t="str">
        <f t="shared" si="12"/>
        <v/>
      </c>
      <c r="E25" s="517" t="str">
        <f t="shared" si="12"/>
        <v/>
      </c>
      <c r="F25" s="517" t="str">
        <f t="shared" si="12"/>
        <v/>
      </c>
      <c r="G25" s="517" t="str">
        <f t="shared" si="12"/>
        <v/>
      </c>
      <c r="H25" s="517" t="str">
        <f t="shared" si="12"/>
        <v/>
      </c>
      <c r="I25" s="517" t="str">
        <f t="shared" si="12"/>
        <v/>
      </c>
      <c r="J25" s="517" t="str">
        <f t="shared" si="12"/>
        <v/>
      </c>
      <c r="K25" s="517" t="str">
        <f t="shared" si="12"/>
        <v/>
      </c>
      <c r="L25" s="517" t="str">
        <f t="shared" si="12"/>
        <v/>
      </c>
      <c r="M25" s="517" t="str">
        <f t="shared" si="12"/>
        <v/>
      </c>
      <c r="N25" s="517" t="str">
        <f t="shared" si="12"/>
        <v/>
      </c>
      <c r="O25" s="517" t="str">
        <f t="shared" si="12"/>
        <v/>
      </c>
      <c r="P25" s="517" t="str">
        <f t="shared" si="12"/>
        <v/>
      </c>
      <c r="Q25" s="517" t="str">
        <f t="shared" si="12"/>
        <v/>
      </c>
      <c r="R25" s="517" t="str">
        <f t="shared" si="12"/>
        <v/>
      </c>
      <c r="S25" s="517" t="str">
        <f t="shared" si="12"/>
        <v/>
      </c>
      <c r="T25" s="517" t="str">
        <f t="shared" si="12"/>
        <v/>
      </c>
      <c r="U25" s="517" t="str">
        <f t="shared" si="12"/>
        <v/>
      </c>
      <c r="V25" s="517" t="str">
        <f t="shared" si="12"/>
        <v/>
      </c>
      <c r="W25" s="517" t="str">
        <f t="shared" si="12"/>
        <v/>
      </c>
      <c r="X25" s="517" t="str">
        <f t="shared" si="12"/>
        <v/>
      </c>
      <c r="Y25" s="517" t="str">
        <f t="shared" si="12"/>
        <v/>
      </c>
      <c r="Z25" s="517" t="str">
        <f t="shared" si="12"/>
        <v/>
      </c>
      <c r="AA25" s="517" t="str">
        <f t="shared" si="12"/>
        <v/>
      </c>
      <c r="AB25" s="517" t="str">
        <f t="shared" si="12"/>
        <v/>
      </c>
      <c r="AC25" s="517" t="str">
        <f t="shared" si="12"/>
        <v/>
      </c>
      <c r="AD25" s="517" t="str">
        <f t="shared" si="12"/>
        <v/>
      </c>
      <c r="AE25" s="517" t="str">
        <f t="shared" si="12"/>
        <v/>
      </c>
      <c r="AF25" s="517" t="str">
        <f t="shared" si="12"/>
        <v/>
      </c>
      <c r="AG25" s="517" t="str">
        <f t="shared" si="12"/>
        <v/>
      </c>
      <c r="AH25" s="517" t="str">
        <f t="shared" si="12"/>
        <v/>
      </c>
      <c r="AI25" s="517" t="str">
        <f t="shared" si="12"/>
        <v/>
      </c>
      <c r="AJ25" s="518"/>
      <c r="AK25" s="563"/>
      <c r="AL25" s="563"/>
      <c r="AM25" s="558">
        <f>SUM(C25:AI25)</f>
        <v>0</v>
      </c>
      <c r="AZ25" s="509"/>
      <c r="BC25" s="359">
        <f t="shared" si="4"/>
        <v>44501</v>
      </c>
      <c r="BD25" s="360">
        <f>DATE(BC14,11,1)</f>
        <v>44501</v>
      </c>
      <c r="BE25" s="361" t="s">
        <v>735</v>
      </c>
      <c r="BF25" s="563"/>
      <c r="BG25" s="362" t="s">
        <v>733</v>
      </c>
      <c r="BH25" s="363">
        <f>DATE(BG14,7,14)</f>
        <v>45121</v>
      </c>
      <c r="BI25" s="563"/>
      <c r="BJ25" s="70"/>
      <c r="BK25" s="57"/>
      <c r="BL25" s="57"/>
      <c r="BM25" s="57"/>
      <c r="BN25" s="586"/>
      <c r="BO25" s="1258"/>
      <c r="BP25" s="54"/>
      <c r="BQ25" s="55"/>
      <c r="BR25" s="56"/>
      <c r="BS25" s="56"/>
      <c r="BT25" s="56"/>
      <c r="BU25" s="56"/>
      <c r="BX25" s="1130"/>
      <c r="BY25" s="1140"/>
      <c r="BZ25" s="1140"/>
      <c r="CA25" s="1140"/>
      <c r="CB25" s="1140"/>
      <c r="CC25" s="1140"/>
      <c r="CD25" s="1140"/>
      <c r="CE25" s="1140"/>
      <c r="CF25" s="1132"/>
      <c r="CG25" s="1132"/>
      <c r="CH25" s="1133"/>
      <c r="CI25" s="1132"/>
      <c r="CJ25" s="1132"/>
      <c r="CK25" s="1132"/>
      <c r="CL25" s="1132"/>
      <c r="CM25" s="1164"/>
    </row>
    <row r="26" spans="2:91" ht="27" customHeight="1" x14ac:dyDescent="0.3">
      <c r="B26" s="557" t="s">
        <v>736</v>
      </c>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12"/>
      <c r="AK26" s="563"/>
      <c r="AL26" s="563"/>
      <c r="AM26" s="560" t="str">
        <f t="shared" si="5"/>
        <v>Dorotée</v>
      </c>
      <c r="AN26" s="513">
        <f>COUNTIF($C26:$AI26,AN$14)</f>
        <v>0</v>
      </c>
      <c r="AO26" s="513">
        <f>COUNTIF($C26:$AI26,AO$14)</f>
        <v>0</v>
      </c>
      <c r="AP26" s="513">
        <f t="shared" ref="AP26:AX26" si="13">COUNTIF($C26:$AI26,AP$14)</f>
        <v>0</v>
      </c>
      <c r="AQ26" s="513">
        <f t="shared" si="13"/>
        <v>0</v>
      </c>
      <c r="AR26" s="513">
        <f t="shared" si="13"/>
        <v>0</v>
      </c>
      <c r="AS26" s="542">
        <f t="shared" si="13"/>
        <v>0</v>
      </c>
      <c r="AT26" s="545">
        <f t="shared" si="13"/>
        <v>0</v>
      </c>
      <c r="AU26" s="514">
        <f t="shared" si="13"/>
        <v>0</v>
      </c>
      <c r="AV26" s="515">
        <f t="shared" si="13"/>
        <v>0</v>
      </c>
      <c r="AW26" s="579">
        <f t="shared" si="13"/>
        <v>0</v>
      </c>
      <c r="AX26" s="516">
        <f t="shared" si="13"/>
        <v>0</v>
      </c>
      <c r="AY26" s="575">
        <f t="shared" si="6"/>
        <v>0</v>
      </c>
      <c r="AZ26" s="577">
        <f t="shared" si="6"/>
        <v>0</v>
      </c>
      <c r="BC26" s="359">
        <f t="shared" si="4"/>
        <v>44511</v>
      </c>
      <c r="BD26" s="360">
        <f>DATE(BC14,11,11)</f>
        <v>44511</v>
      </c>
      <c r="BE26" s="361" t="s">
        <v>587</v>
      </c>
      <c r="BF26" s="563"/>
      <c r="BG26" s="362" t="s">
        <v>586</v>
      </c>
      <c r="BH26" s="363">
        <f>DATE(BG14,8,15)</f>
        <v>45153</v>
      </c>
      <c r="BI26" s="563"/>
      <c r="BJ26" s="547" t="s">
        <v>85</v>
      </c>
      <c r="BK26" s="50">
        <v>0.41666666666666669</v>
      </c>
      <c r="BL26" s="50">
        <v>0.60416666666666663</v>
      </c>
      <c r="BM26" s="51">
        <v>1</v>
      </c>
      <c r="BN26" s="589">
        <f>IF(BL26-BK26=0,0,(BL26-BK26)-(BM26*TIMEVALUE("00:30")))</f>
        <v>0.1666666666666666</v>
      </c>
      <c r="BO26" s="587" t="s">
        <v>67</v>
      </c>
      <c r="BP26" s="54"/>
      <c r="BQ26" s="55"/>
      <c r="BR26" s="56"/>
      <c r="BS26" s="56"/>
      <c r="BT26" s="56"/>
      <c r="BU26" s="56"/>
      <c r="BX26" s="1098"/>
      <c r="BY26" s="1100"/>
      <c r="BZ26" s="1174" t="s">
        <v>360</v>
      </c>
      <c r="CA26" s="1137" t="s">
        <v>361</v>
      </c>
      <c r="CB26" s="1137"/>
      <c r="CC26" s="1137"/>
      <c r="CD26" s="1137"/>
      <c r="CE26" s="1137"/>
      <c r="CF26" s="1111"/>
      <c r="CG26" s="1111"/>
      <c r="CH26" s="1168" t="s">
        <v>662</v>
      </c>
      <c r="CI26" s="1111" t="s">
        <v>663</v>
      </c>
      <c r="CJ26" s="1135"/>
      <c r="CK26" s="1111"/>
      <c r="CL26" s="1111"/>
      <c r="CM26" s="1166"/>
    </row>
    <row r="27" spans="2:91" ht="15" customHeight="1" x14ac:dyDescent="0.3">
      <c r="B27" s="556">
        <f>SUM(C27:AI27)</f>
        <v>0</v>
      </c>
      <c r="C27" s="517" t="str">
        <f t="shared" ref="C27:AI27" si="14">IF(C26=$T$11,$T$12,IF(C26=$U$11,$U$12,IF(C26=$V$11,$V$12,IF(C26=$W$11,$W$12,IF(C26=$X$11,$X$12,"")))))</f>
        <v/>
      </c>
      <c r="D27" s="517" t="str">
        <f t="shared" si="14"/>
        <v/>
      </c>
      <c r="E27" s="517" t="str">
        <f t="shared" si="14"/>
        <v/>
      </c>
      <c r="F27" s="517" t="str">
        <f t="shared" si="14"/>
        <v/>
      </c>
      <c r="G27" s="517" t="str">
        <f t="shared" si="14"/>
        <v/>
      </c>
      <c r="H27" s="517" t="str">
        <f t="shared" si="14"/>
        <v/>
      </c>
      <c r="I27" s="517" t="str">
        <f t="shared" si="14"/>
        <v/>
      </c>
      <c r="J27" s="517" t="str">
        <f t="shared" si="14"/>
        <v/>
      </c>
      <c r="K27" s="517" t="str">
        <f t="shared" si="14"/>
        <v/>
      </c>
      <c r="L27" s="517" t="str">
        <f t="shared" si="14"/>
        <v/>
      </c>
      <c r="M27" s="517" t="str">
        <f t="shared" si="14"/>
        <v/>
      </c>
      <c r="N27" s="517" t="str">
        <f t="shared" si="14"/>
        <v/>
      </c>
      <c r="O27" s="517" t="str">
        <f t="shared" si="14"/>
        <v/>
      </c>
      <c r="P27" s="517" t="str">
        <f t="shared" si="14"/>
        <v/>
      </c>
      <c r="Q27" s="517" t="str">
        <f t="shared" si="14"/>
        <v/>
      </c>
      <c r="R27" s="517" t="str">
        <f t="shared" si="14"/>
        <v/>
      </c>
      <c r="S27" s="517" t="str">
        <f t="shared" si="14"/>
        <v/>
      </c>
      <c r="T27" s="517" t="str">
        <f t="shared" si="14"/>
        <v/>
      </c>
      <c r="U27" s="517" t="str">
        <f t="shared" si="14"/>
        <v/>
      </c>
      <c r="V27" s="517" t="str">
        <f t="shared" si="14"/>
        <v/>
      </c>
      <c r="W27" s="517" t="str">
        <f t="shared" si="14"/>
        <v/>
      </c>
      <c r="X27" s="517" t="str">
        <f t="shared" si="14"/>
        <v/>
      </c>
      <c r="Y27" s="517" t="str">
        <f t="shared" si="14"/>
        <v/>
      </c>
      <c r="Z27" s="517" t="str">
        <f t="shared" si="14"/>
        <v/>
      </c>
      <c r="AA27" s="517" t="str">
        <f t="shared" si="14"/>
        <v/>
      </c>
      <c r="AB27" s="517" t="str">
        <f t="shared" si="14"/>
        <v/>
      </c>
      <c r="AC27" s="517" t="str">
        <f t="shared" si="14"/>
        <v/>
      </c>
      <c r="AD27" s="517" t="str">
        <f t="shared" si="14"/>
        <v/>
      </c>
      <c r="AE27" s="517" t="str">
        <f t="shared" si="14"/>
        <v/>
      </c>
      <c r="AF27" s="517" t="str">
        <f t="shared" si="14"/>
        <v/>
      </c>
      <c r="AG27" s="517" t="str">
        <f t="shared" si="14"/>
        <v/>
      </c>
      <c r="AH27" s="517" t="str">
        <f t="shared" si="14"/>
        <v/>
      </c>
      <c r="AI27" s="517" t="str">
        <f t="shared" si="14"/>
        <v/>
      </c>
      <c r="AJ27" s="518"/>
      <c r="AK27" s="563"/>
      <c r="AL27" s="563"/>
      <c r="AM27" s="561">
        <f>SUM(C27:AI27)</f>
        <v>0</v>
      </c>
      <c r="AZ27" s="509"/>
      <c r="BC27" s="359">
        <f t="shared" si="4"/>
        <v>44555</v>
      </c>
      <c r="BD27" s="360">
        <f>DATE(BC14,12,25)</f>
        <v>44555</v>
      </c>
      <c r="BE27" s="361" t="s">
        <v>723</v>
      </c>
      <c r="BF27" s="563"/>
      <c r="BG27" s="362" t="s">
        <v>735</v>
      </c>
      <c r="BH27" s="363">
        <f>DATE(BG14,11,1)</f>
        <v>45231</v>
      </c>
      <c r="BI27" s="563"/>
      <c r="BJ27" s="70"/>
      <c r="BK27" s="57"/>
      <c r="BL27" s="57"/>
      <c r="BM27" s="57"/>
      <c r="BN27" s="586"/>
      <c r="BO27" s="1258"/>
      <c r="BP27" s="54"/>
      <c r="BQ27" s="55"/>
      <c r="BR27" s="56"/>
      <c r="BS27" s="56"/>
      <c r="BT27" s="56"/>
      <c r="BU27" s="56"/>
      <c r="BX27" s="1130"/>
      <c r="BY27" s="1140"/>
      <c r="BZ27" s="1140"/>
      <c r="CA27" s="1140"/>
      <c r="CB27" s="1140"/>
      <c r="CC27" s="1140"/>
      <c r="CD27" s="1140"/>
      <c r="CE27" s="1140"/>
      <c r="CF27" s="1132"/>
      <c r="CG27" s="1132"/>
      <c r="CH27" s="1133"/>
      <c r="CI27" s="1132"/>
      <c r="CJ27" s="1132"/>
      <c r="CK27" s="1132"/>
      <c r="CL27" s="1132"/>
      <c r="CM27" s="1164"/>
    </row>
    <row r="28" spans="2:91" ht="27" customHeight="1" x14ac:dyDescent="0.3">
      <c r="B28" s="557" t="s">
        <v>737</v>
      </c>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12"/>
      <c r="AK28" s="563"/>
      <c r="AL28" s="563"/>
      <c r="AM28" s="559" t="str">
        <f t="shared" si="5"/>
        <v>juliette</v>
      </c>
      <c r="AN28" s="513">
        <f>COUNTIF($C28:$AI28,AN$14)</f>
        <v>0</v>
      </c>
      <c r="AO28" s="513">
        <f>COUNTIF($C28:$AI28,AO$14)</f>
        <v>0</v>
      </c>
      <c r="AP28" s="513">
        <f t="shared" ref="AP28:AX28" si="15">COUNTIF($C28:$AI28,AP$14)</f>
        <v>0</v>
      </c>
      <c r="AQ28" s="513">
        <f t="shared" si="15"/>
        <v>0</v>
      </c>
      <c r="AR28" s="513">
        <f t="shared" si="15"/>
        <v>0</v>
      </c>
      <c r="AS28" s="542">
        <f t="shared" si="15"/>
        <v>0</v>
      </c>
      <c r="AT28" s="545">
        <f t="shared" si="15"/>
        <v>0</v>
      </c>
      <c r="AU28" s="514">
        <f t="shared" si="15"/>
        <v>0</v>
      </c>
      <c r="AV28" s="515">
        <f t="shared" si="15"/>
        <v>0</v>
      </c>
      <c r="AW28" s="579">
        <f t="shared" si="15"/>
        <v>0</v>
      </c>
      <c r="AX28" s="516">
        <f t="shared" si="15"/>
        <v>0</v>
      </c>
      <c r="AY28" s="575">
        <f t="shared" si="6"/>
        <v>0</v>
      </c>
      <c r="AZ28" s="577">
        <f t="shared" si="6"/>
        <v>0</v>
      </c>
      <c r="BC28" s="366">
        <f>BC31</f>
        <v>44562</v>
      </c>
      <c r="BD28" s="367">
        <f>BD31</f>
        <v>44562</v>
      </c>
      <c r="BE28" s="368" t="s">
        <v>721</v>
      </c>
      <c r="BF28" s="563"/>
      <c r="BG28" s="362" t="s">
        <v>587</v>
      </c>
      <c r="BH28" s="363">
        <f>DATE(BG14,11,11)</f>
        <v>45241</v>
      </c>
      <c r="BI28" s="563"/>
      <c r="BJ28" s="547" t="s">
        <v>86</v>
      </c>
      <c r="BK28" s="50">
        <v>0.27083333333333331</v>
      </c>
      <c r="BL28" s="50">
        <v>0.625</v>
      </c>
      <c r="BM28" s="51">
        <v>1</v>
      </c>
      <c r="BN28" s="589">
        <f>IF(BL28-BK28=0,0,(BL28-BK28)-(BM28*TIMEVALUE("00:30")))</f>
        <v>0.33333333333333337</v>
      </c>
      <c r="BO28" s="587" t="s">
        <v>68</v>
      </c>
      <c r="BP28" s="54"/>
      <c r="BQ28" s="55"/>
      <c r="BR28" s="56"/>
      <c r="BS28" s="56"/>
      <c r="BT28" s="56"/>
      <c r="BU28" s="56"/>
      <c r="BX28" s="1098"/>
      <c r="BY28" s="1100"/>
      <c r="BZ28" s="1174" t="s">
        <v>112</v>
      </c>
      <c r="CA28" s="1173" t="s">
        <v>353</v>
      </c>
      <c r="CB28" s="1137"/>
      <c r="CC28" s="1137"/>
      <c r="CD28" s="1137"/>
      <c r="CE28" s="1137"/>
      <c r="CF28" s="1111"/>
      <c r="CG28" s="1111"/>
      <c r="CH28" s="1169" t="s">
        <v>37</v>
      </c>
      <c r="CI28" s="1528" t="s">
        <v>551</v>
      </c>
      <c r="CJ28" s="1528"/>
      <c r="CK28" s="1528"/>
      <c r="CL28" s="1528"/>
      <c r="CM28" s="1529"/>
    </row>
    <row r="29" spans="2:91" ht="15" customHeight="1" x14ac:dyDescent="0.3">
      <c r="B29" s="556">
        <f>SUM(C29:AI29)</f>
        <v>0</v>
      </c>
      <c r="C29" s="517" t="str">
        <f t="shared" ref="C29:AI29" si="16">IF(C28=$T$11,$T$12,IF(C28=$U$11,$U$12,IF(C28=$V$11,$V$12,IF(C28=$W$11,$W$12,IF(C28=$X$11,$X$12,"")))))</f>
        <v/>
      </c>
      <c r="D29" s="517" t="str">
        <f t="shared" si="16"/>
        <v/>
      </c>
      <c r="E29" s="517" t="str">
        <f t="shared" si="16"/>
        <v/>
      </c>
      <c r="F29" s="517" t="str">
        <f t="shared" si="16"/>
        <v/>
      </c>
      <c r="G29" s="517" t="str">
        <f t="shared" si="16"/>
        <v/>
      </c>
      <c r="H29" s="517" t="str">
        <f t="shared" si="16"/>
        <v/>
      </c>
      <c r="I29" s="517" t="str">
        <f t="shared" si="16"/>
        <v/>
      </c>
      <c r="J29" s="517" t="str">
        <f t="shared" si="16"/>
        <v/>
      </c>
      <c r="K29" s="517" t="str">
        <f t="shared" si="16"/>
        <v/>
      </c>
      <c r="L29" s="517" t="str">
        <f t="shared" si="16"/>
        <v/>
      </c>
      <c r="M29" s="517" t="str">
        <f t="shared" si="16"/>
        <v/>
      </c>
      <c r="N29" s="517" t="str">
        <f t="shared" si="16"/>
        <v/>
      </c>
      <c r="O29" s="517" t="str">
        <f t="shared" si="16"/>
        <v/>
      </c>
      <c r="P29" s="517" t="str">
        <f t="shared" si="16"/>
        <v/>
      </c>
      <c r="Q29" s="517" t="str">
        <f t="shared" si="16"/>
        <v/>
      </c>
      <c r="R29" s="517" t="str">
        <f t="shared" si="16"/>
        <v/>
      </c>
      <c r="S29" s="517" t="str">
        <f t="shared" si="16"/>
        <v/>
      </c>
      <c r="T29" s="517" t="str">
        <f t="shared" si="16"/>
        <v/>
      </c>
      <c r="U29" s="517" t="str">
        <f t="shared" si="16"/>
        <v/>
      </c>
      <c r="V29" s="517" t="str">
        <f t="shared" si="16"/>
        <v/>
      </c>
      <c r="W29" s="517" t="str">
        <f t="shared" si="16"/>
        <v/>
      </c>
      <c r="X29" s="517" t="str">
        <f t="shared" si="16"/>
        <v/>
      </c>
      <c r="Y29" s="517" t="str">
        <f t="shared" si="16"/>
        <v/>
      </c>
      <c r="Z29" s="517" t="str">
        <f t="shared" si="16"/>
        <v/>
      </c>
      <c r="AA29" s="517" t="str">
        <f t="shared" si="16"/>
        <v/>
      </c>
      <c r="AB29" s="517" t="str">
        <f t="shared" si="16"/>
        <v/>
      </c>
      <c r="AC29" s="517" t="str">
        <f t="shared" si="16"/>
        <v/>
      </c>
      <c r="AD29" s="517" t="str">
        <f t="shared" si="16"/>
        <v/>
      </c>
      <c r="AE29" s="517" t="str">
        <f t="shared" si="16"/>
        <v/>
      </c>
      <c r="AF29" s="517" t="str">
        <f t="shared" si="16"/>
        <v/>
      </c>
      <c r="AG29" s="517" t="str">
        <f t="shared" si="16"/>
        <v/>
      </c>
      <c r="AH29" s="517" t="str">
        <f t="shared" si="16"/>
        <v/>
      </c>
      <c r="AI29" s="517" t="str">
        <f t="shared" si="16"/>
        <v/>
      </c>
      <c r="AJ29" s="518"/>
      <c r="AK29" s="563"/>
      <c r="AL29" s="563"/>
      <c r="AM29" s="558">
        <f>SUM(C29:AI29)</f>
        <v>0</v>
      </c>
      <c r="AZ29" s="509"/>
      <c r="BF29" s="563"/>
      <c r="BG29" s="362" t="s">
        <v>723</v>
      </c>
      <c r="BH29" s="363">
        <f>DATE(BG14,12,25)</f>
        <v>45285</v>
      </c>
      <c r="BI29" s="563"/>
      <c r="BJ29" s="70"/>
      <c r="BK29" s="57"/>
      <c r="BL29" s="57"/>
      <c r="BM29" s="57"/>
      <c r="BN29" s="586"/>
      <c r="BO29" s="1258"/>
      <c r="BP29" s="54"/>
      <c r="BQ29" s="55"/>
      <c r="BR29" s="56"/>
      <c r="BS29" s="56"/>
      <c r="BT29" s="56"/>
      <c r="BU29" s="56"/>
      <c r="BX29" s="1130"/>
      <c r="BY29" s="1140"/>
      <c r="BZ29" s="1140"/>
      <c r="CA29" s="1140"/>
      <c r="CB29" s="1140"/>
      <c r="CC29" s="1140"/>
      <c r="CD29" s="1140"/>
      <c r="CE29" s="1140"/>
      <c r="CF29" s="1132"/>
      <c r="CG29" s="1132"/>
      <c r="CH29" s="1133"/>
      <c r="CI29" s="1528"/>
      <c r="CJ29" s="1528"/>
      <c r="CK29" s="1528"/>
      <c r="CL29" s="1528"/>
      <c r="CM29" s="1529"/>
    </row>
    <row r="30" spans="2:91" ht="27" customHeight="1" thickBot="1" x14ac:dyDescent="0.35">
      <c r="B30" s="557" t="s">
        <v>738</v>
      </c>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12"/>
      <c r="AK30" s="563"/>
      <c r="AL30" s="563"/>
      <c r="AM30" s="560" t="str">
        <f t="shared" si="5"/>
        <v>amélie</v>
      </c>
      <c r="AN30" s="513">
        <f>COUNTIF($C30:$AI30,AN$14)</f>
        <v>0</v>
      </c>
      <c r="AO30" s="513">
        <f>COUNTIF($C30:$AI30,AO$14)</f>
        <v>0</v>
      </c>
      <c r="AP30" s="513">
        <f t="shared" ref="AP30:AX30" si="17">COUNTIF($C30:$AI30,AP$14)</f>
        <v>0</v>
      </c>
      <c r="AQ30" s="513">
        <f t="shared" si="17"/>
        <v>0</v>
      </c>
      <c r="AR30" s="513">
        <f t="shared" si="17"/>
        <v>0</v>
      </c>
      <c r="AS30" s="542">
        <f t="shared" si="17"/>
        <v>0</v>
      </c>
      <c r="AT30" s="545">
        <f t="shared" si="17"/>
        <v>0</v>
      </c>
      <c r="AU30" s="514">
        <f t="shared" si="17"/>
        <v>0</v>
      </c>
      <c r="AV30" s="515">
        <f t="shared" si="17"/>
        <v>0</v>
      </c>
      <c r="AW30" s="579">
        <f t="shared" si="17"/>
        <v>0</v>
      </c>
      <c r="AX30" s="516">
        <f t="shared" si="17"/>
        <v>0</v>
      </c>
      <c r="AY30" s="575">
        <f t="shared" si="6"/>
        <v>0</v>
      </c>
      <c r="AZ30" s="577">
        <f t="shared" si="6"/>
        <v>0</v>
      </c>
      <c r="BC30" s="1490">
        <f>BC14+1</f>
        <v>2022</v>
      </c>
      <c r="BD30" s="1491"/>
      <c r="BE30" s="1492"/>
      <c r="BF30" s="563"/>
      <c r="BG30" s="369" t="s">
        <v>721</v>
      </c>
      <c r="BH30" s="370">
        <f>DATE(BG14+1,1,1)</f>
        <v>45292</v>
      </c>
      <c r="BI30" s="563"/>
      <c r="BJ30" s="547" t="s">
        <v>87</v>
      </c>
      <c r="BK30" s="50">
        <v>0.3125</v>
      </c>
      <c r="BL30" s="50">
        <v>0.47916666666666669</v>
      </c>
      <c r="BM30" s="51">
        <v>0</v>
      </c>
      <c r="BN30" s="589">
        <f>IF(BL30-BK30=0,0,(BL30-BK30)-(BM30*TIMEVALUE("00:30")))</f>
        <v>0.16666666666666669</v>
      </c>
      <c r="BO30" s="587" t="s">
        <v>62</v>
      </c>
      <c r="BP30" s="54"/>
      <c r="BQ30" s="55"/>
      <c r="BR30" s="56"/>
      <c r="BS30" s="56"/>
      <c r="BT30" s="56"/>
      <c r="BU30" s="56"/>
      <c r="BX30" s="1098"/>
      <c r="BY30" s="1100"/>
      <c r="BZ30" s="1175" t="s">
        <v>356</v>
      </c>
      <c r="CA30" s="1137" t="s">
        <v>357</v>
      </c>
      <c r="CB30" s="1137"/>
      <c r="CC30" s="1137"/>
      <c r="CD30" s="1137"/>
      <c r="CE30" s="1137"/>
      <c r="CF30" s="1111"/>
      <c r="CG30" s="1111"/>
      <c r="CH30" s="1111"/>
      <c r="CI30" s="1111"/>
      <c r="CJ30" s="1135"/>
      <c r="CK30" s="1111"/>
      <c r="CL30" s="1111"/>
      <c r="CM30" s="1166"/>
    </row>
    <row r="31" spans="2:91" ht="15" customHeight="1" x14ac:dyDescent="0.25">
      <c r="B31" s="556">
        <f>SUM(C31:AI31)</f>
        <v>0</v>
      </c>
      <c r="C31" s="517" t="str">
        <f t="shared" ref="C31:AI31" si="18">IF(C30=$T$11,$T$12,IF(C30=$U$11,$U$12,IF(C30=$V$11,$V$12,IF(C30=$W$11,$W$12,IF(C30=$X$11,$X$12,"")))))</f>
        <v/>
      </c>
      <c r="D31" s="517" t="str">
        <f t="shared" si="18"/>
        <v/>
      </c>
      <c r="E31" s="517" t="str">
        <f t="shared" si="18"/>
        <v/>
      </c>
      <c r="F31" s="517" t="str">
        <f t="shared" si="18"/>
        <v/>
      </c>
      <c r="G31" s="517" t="str">
        <f t="shared" si="18"/>
        <v/>
      </c>
      <c r="H31" s="517" t="str">
        <f t="shared" si="18"/>
        <v/>
      </c>
      <c r="I31" s="517" t="str">
        <f t="shared" si="18"/>
        <v/>
      </c>
      <c r="J31" s="517" t="str">
        <f t="shared" si="18"/>
        <v/>
      </c>
      <c r="K31" s="517" t="str">
        <f t="shared" si="18"/>
        <v/>
      </c>
      <c r="L31" s="517" t="str">
        <f t="shared" si="18"/>
        <v/>
      </c>
      <c r="M31" s="517" t="str">
        <f t="shared" si="18"/>
        <v/>
      </c>
      <c r="N31" s="517" t="str">
        <f t="shared" si="18"/>
        <v/>
      </c>
      <c r="O31" s="517" t="str">
        <f t="shared" si="18"/>
        <v/>
      </c>
      <c r="P31" s="517" t="str">
        <f t="shared" si="18"/>
        <v/>
      </c>
      <c r="Q31" s="517" t="str">
        <f t="shared" si="18"/>
        <v/>
      </c>
      <c r="R31" s="517" t="str">
        <f t="shared" si="18"/>
        <v/>
      </c>
      <c r="S31" s="517" t="str">
        <f t="shared" si="18"/>
        <v/>
      </c>
      <c r="T31" s="517" t="str">
        <f t="shared" si="18"/>
        <v/>
      </c>
      <c r="U31" s="517" t="str">
        <f t="shared" si="18"/>
        <v/>
      </c>
      <c r="V31" s="517" t="str">
        <f t="shared" si="18"/>
        <v/>
      </c>
      <c r="W31" s="517" t="str">
        <f t="shared" si="18"/>
        <v/>
      </c>
      <c r="X31" s="517" t="str">
        <f t="shared" si="18"/>
        <v/>
      </c>
      <c r="Y31" s="517" t="str">
        <f t="shared" si="18"/>
        <v/>
      </c>
      <c r="Z31" s="517" t="str">
        <f t="shared" si="18"/>
        <v/>
      </c>
      <c r="AA31" s="517" t="str">
        <f t="shared" si="18"/>
        <v/>
      </c>
      <c r="AB31" s="517" t="str">
        <f t="shared" si="18"/>
        <v/>
      </c>
      <c r="AC31" s="517" t="str">
        <f t="shared" si="18"/>
        <v/>
      </c>
      <c r="AD31" s="517" t="str">
        <f t="shared" si="18"/>
        <v/>
      </c>
      <c r="AE31" s="517" t="str">
        <f t="shared" si="18"/>
        <v/>
      </c>
      <c r="AF31" s="517" t="str">
        <f t="shared" si="18"/>
        <v/>
      </c>
      <c r="AG31" s="517" t="str">
        <f t="shared" si="18"/>
        <v/>
      </c>
      <c r="AH31" s="517" t="str">
        <f t="shared" si="18"/>
        <v/>
      </c>
      <c r="AI31" s="517" t="str">
        <f t="shared" si="18"/>
        <v/>
      </c>
      <c r="AJ31" s="518"/>
      <c r="AK31" s="563"/>
      <c r="AL31" s="563"/>
      <c r="AM31" s="561">
        <f>SUM(C31:AI31)</f>
        <v>0</v>
      </c>
      <c r="AZ31" s="509"/>
      <c r="BC31" s="359">
        <f>BD31</f>
        <v>44562</v>
      </c>
      <c r="BD31" s="360">
        <f>DATE(BC14+1,1,1)</f>
        <v>44562</v>
      </c>
      <c r="BE31" s="361" t="s">
        <v>721</v>
      </c>
      <c r="BF31" s="563"/>
      <c r="BG31" s="563"/>
      <c r="BH31" s="563"/>
      <c r="BI31" s="563"/>
      <c r="BJ31" s="70"/>
      <c r="BK31" s="57"/>
      <c r="BL31" s="57"/>
      <c r="BM31" s="57"/>
      <c r="BN31" s="586"/>
      <c r="BO31" s="1258"/>
      <c r="BP31" s="54"/>
      <c r="BQ31" s="55"/>
      <c r="BR31" s="56"/>
      <c r="BS31" s="56"/>
      <c r="BT31" s="56"/>
      <c r="BU31" s="56"/>
      <c r="BX31" s="1130"/>
      <c r="BY31" s="1112"/>
      <c r="BZ31" s="1133"/>
      <c r="CA31" s="1132"/>
      <c r="CB31" s="1132"/>
      <c r="CC31" s="1132"/>
      <c r="CD31" s="1112"/>
      <c r="CE31" s="1132"/>
      <c r="CF31" s="1132"/>
      <c r="CG31" s="1132"/>
      <c r="CH31" s="1133"/>
      <c r="CI31" s="1132"/>
      <c r="CJ31" s="1132"/>
      <c r="CK31" s="1132"/>
      <c r="CL31" s="1132"/>
      <c r="CM31" s="1164"/>
    </row>
    <row r="32" spans="2:91" ht="20.100000000000001" hidden="1" customHeight="1" x14ac:dyDescent="0.3">
      <c r="B32" s="520"/>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0"/>
      <c r="AJ32" s="512"/>
      <c r="AK32" s="563"/>
      <c r="AL32" s="563"/>
      <c r="AM32" s="521">
        <f t="shared" si="5"/>
        <v>0</v>
      </c>
      <c r="AZ32" s="509"/>
      <c r="BC32" s="359">
        <f t="shared" ref="BC32:BC43" si="19">BD32</f>
        <v>44668</v>
      </c>
      <c r="BD32" s="360">
        <f>DATE(BC14+1,3,29.56+0.979*MOD(204-11*MOD(BC14+1,19),30)-WEEKDAY(DATE(BC14+1,3,28.56+0.979*MOD(204-11*MOD(BC14+1,19),30))))</f>
        <v>44668</v>
      </c>
      <c r="BE32" s="361" t="s">
        <v>585</v>
      </c>
      <c r="BF32" s="563"/>
      <c r="BG32" s="563"/>
      <c r="BH32" s="563"/>
      <c r="BI32" s="563"/>
      <c r="BJ32" s="547" t="s">
        <v>88</v>
      </c>
      <c r="BK32" s="50">
        <v>0.375</v>
      </c>
      <c r="BL32" s="50">
        <v>0.5625</v>
      </c>
      <c r="BM32" s="51">
        <v>1</v>
      </c>
      <c r="BN32" s="589">
        <f>IF(BL32-BK32=0,0,(BL32-BK32)-(BM32*TIMEVALUE("00:30")))</f>
        <v>0.16666666666666666</v>
      </c>
      <c r="BO32" s="587" t="s">
        <v>67</v>
      </c>
      <c r="BP32" s="54"/>
      <c r="BQ32" s="55"/>
      <c r="BR32" s="56"/>
      <c r="BS32" s="56"/>
      <c r="BT32" s="56"/>
      <c r="BU32" s="56"/>
      <c r="BX32" s="1130"/>
      <c r="BY32" s="1112"/>
      <c r="BZ32" s="1133"/>
      <c r="CA32" s="1132"/>
      <c r="CB32" s="1132"/>
      <c r="CC32" s="1132"/>
      <c r="CD32" s="1112"/>
      <c r="CE32" s="1132"/>
      <c r="CF32" s="1132"/>
      <c r="CG32" s="1132"/>
      <c r="CH32" s="1133"/>
      <c r="CI32" s="1132"/>
      <c r="CJ32" s="1132"/>
      <c r="CK32" s="1132"/>
      <c r="CL32" s="1132"/>
      <c r="CM32" s="1164"/>
    </row>
    <row r="33" spans="2:91" ht="20.100000000000001" hidden="1" customHeight="1" x14ac:dyDescent="0.3">
      <c r="B33" s="520"/>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0"/>
      <c r="AJ33" s="512"/>
      <c r="AK33" s="563"/>
      <c r="AL33" s="563"/>
      <c r="AM33" s="521">
        <f t="shared" si="5"/>
        <v>0</v>
      </c>
      <c r="AZ33" s="509"/>
      <c r="BC33" s="359">
        <f t="shared" si="19"/>
        <v>44669</v>
      </c>
      <c r="BD33" s="522">
        <f>BD32+1</f>
        <v>44669</v>
      </c>
      <c r="BE33" s="361" t="s">
        <v>725</v>
      </c>
      <c r="BF33" s="563"/>
      <c r="BG33" s="563"/>
      <c r="BH33" s="563"/>
      <c r="BI33" s="563"/>
      <c r="BJ33" s="70"/>
      <c r="BK33" s="57"/>
      <c r="BL33" s="57"/>
      <c r="BM33" s="57"/>
      <c r="BN33" s="586"/>
      <c r="BO33" s="1258"/>
      <c r="BP33" s="54"/>
      <c r="BQ33" s="55"/>
      <c r="BR33" s="56"/>
      <c r="BS33" s="56"/>
      <c r="BT33" s="56"/>
      <c r="BU33" s="56"/>
      <c r="BX33" s="1130"/>
      <c r="BY33" s="1112"/>
      <c r="BZ33" s="1133"/>
      <c r="CA33" s="1132"/>
      <c r="CB33" s="1132"/>
      <c r="CC33" s="1132"/>
      <c r="CD33" s="1112"/>
      <c r="CE33" s="1132"/>
      <c r="CF33" s="1132"/>
      <c r="CG33" s="1132"/>
      <c r="CH33" s="1133"/>
      <c r="CI33" s="1132"/>
      <c r="CJ33" s="1132"/>
      <c r="CK33" s="1132"/>
      <c r="CL33" s="1132"/>
      <c r="CM33" s="1164"/>
    </row>
    <row r="34" spans="2:91" ht="27" customHeight="1" x14ac:dyDescent="0.3">
      <c r="B34" s="557" t="s">
        <v>739</v>
      </c>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12"/>
      <c r="AK34" s="563"/>
      <c r="AL34" s="563"/>
      <c r="AM34" s="559" t="str">
        <f t="shared" si="5"/>
        <v>flora</v>
      </c>
      <c r="AN34" s="513">
        <f>COUNTIF($C34:$AI34,AN$14)</f>
        <v>0</v>
      </c>
      <c r="AO34" s="513">
        <f>COUNTIF($C34:$AI34,AO$14)</f>
        <v>0</v>
      </c>
      <c r="AP34" s="513">
        <f t="shared" ref="AP34:AZ34" si="20">COUNTIF($C34:$AI34,AP$14)</f>
        <v>0</v>
      </c>
      <c r="AQ34" s="513">
        <f t="shared" si="20"/>
        <v>0</v>
      </c>
      <c r="AR34" s="513">
        <f t="shared" si="20"/>
        <v>0</v>
      </c>
      <c r="AS34" s="542">
        <f t="shared" si="20"/>
        <v>0</v>
      </c>
      <c r="AT34" s="545">
        <f t="shared" si="20"/>
        <v>0</v>
      </c>
      <c r="AU34" s="514">
        <f t="shared" si="20"/>
        <v>0</v>
      </c>
      <c r="AV34" s="515">
        <f t="shared" si="20"/>
        <v>0</v>
      </c>
      <c r="AW34" s="579">
        <f t="shared" si="20"/>
        <v>0</v>
      </c>
      <c r="AX34" s="516">
        <f t="shared" si="20"/>
        <v>0</v>
      </c>
      <c r="AY34" s="575">
        <f t="shared" si="20"/>
        <v>0</v>
      </c>
      <c r="AZ34" s="577">
        <f t="shared" si="20"/>
        <v>0</v>
      </c>
      <c r="BC34" s="359">
        <f t="shared" si="19"/>
        <v>44682</v>
      </c>
      <c r="BD34" s="522">
        <f>DATE(BC14+1,5,1)</f>
        <v>44682</v>
      </c>
      <c r="BE34" s="361" t="s">
        <v>726</v>
      </c>
      <c r="BF34" s="563"/>
      <c r="BG34" s="563"/>
      <c r="BH34" s="563"/>
      <c r="BI34" s="563"/>
      <c r="BJ34" s="547" t="s">
        <v>89</v>
      </c>
      <c r="BK34" s="50">
        <v>0.33333333333333331</v>
      </c>
      <c r="BL34" s="50">
        <v>0.64583333333333337</v>
      </c>
      <c r="BM34" s="51">
        <v>1</v>
      </c>
      <c r="BN34" s="589">
        <f>IF(BL34-BK34=0,0,(BL34-BK34)-(BM34*TIMEVALUE("00:30")))</f>
        <v>0.29166666666666674</v>
      </c>
      <c r="BO34" s="587" t="s">
        <v>127</v>
      </c>
      <c r="BP34" s="54"/>
      <c r="BQ34" s="55"/>
      <c r="BR34" s="56"/>
      <c r="BS34" s="56"/>
      <c r="BT34" s="56"/>
      <c r="BU34" s="56"/>
      <c r="BX34" s="1098"/>
      <c r="BY34" s="1100"/>
      <c r="BZ34" s="1116" t="s">
        <v>358</v>
      </c>
      <c r="CA34" s="1111" t="s">
        <v>359</v>
      </c>
      <c r="CB34" s="1111"/>
      <c r="CC34" s="1111"/>
      <c r="CD34" s="1103"/>
      <c r="CE34" s="1135"/>
      <c r="CF34" s="1135"/>
      <c r="CG34" s="1135"/>
      <c r="CH34" s="580" t="s">
        <v>664</v>
      </c>
      <c r="CI34" s="1135"/>
      <c r="CJ34" s="1135"/>
      <c r="CK34" s="1111"/>
      <c r="CL34" s="1111"/>
      <c r="CM34" s="1166"/>
    </row>
    <row r="35" spans="2:91" ht="15" customHeight="1" x14ac:dyDescent="0.25">
      <c r="B35" s="556">
        <f>SUM(C35:AI35)</f>
        <v>0</v>
      </c>
      <c r="C35" s="517" t="str">
        <f t="shared" ref="C35:AI35" si="21">IF(C34=$T$11,$T$12,IF(C34=$U$11,$U$12,IF(C34=$V$11,$V$12,IF(C34=$W$11,$W$12,IF(C34=$X$11,$X$12,"")))))</f>
        <v/>
      </c>
      <c r="D35" s="517" t="str">
        <f t="shared" si="21"/>
        <v/>
      </c>
      <c r="E35" s="517" t="str">
        <f t="shared" si="21"/>
        <v/>
      </c>
      <c r="F35" s="517" t="str">
        <f t="shared" si="21"/>
        <v/>
      </c>
      <c r="G35" s="517" t="str">
        <f t="shared" si="21"/>
        <v/>
      </c>
      <c r="H35" s="517" t="str">
        <f t="shared" si="21"/>
        <v/>
      </c>
      <c r="I35" s="517" t="str">
        <f t="shared" si="21"/>
        <v/>
      </c>
      <c r="J35" s="517" t="str">
        <f t="shared" si="21"/>
        <v/>
      </c>
      <c r="K35" s="517" t="str">
        <f t="shared" si="21"/>
        <v/>
      </c>
      <c r="L35" s="517" t="str">
        <f t="shared" si="21"/>
        <v/>
      </c>
      <c r="M35" s="517" t="str">
        <f t="shared" si="21"/>
        <v/>
      </c>
      <c r="N35" s="517" t="str">
        <f t="shared" si="21"/>
        <v/>
      </c>
      <c r="O35" s="517" t="str">
        <f t="shared" si="21"/>
        <v/>
      </c>
      <c r="P35" s="517" t="str">
        <f t="shared" si="21"/>
        <v/>
      </c>
      <c r="Q35" s="517" t="str">
        <f t="shared" si="21"/>
        <v/>
      </c>
      <c r="R35" s="517" t="str">
        <f t="shared" si="21"/>
        <v/>
      </c>
      <c r="S35" s="517" t="str">
        <f t="shared" si="21"/>
        <v/>
      </c>
      <c r="T35" s="517" t="str">
        <f t="shared" si="21"/>
        <v/>
      </c>
      <c r="U35" s="517" t="str">
        <f t="shared" si="21"/>
        <v/>
      </c>
      <c r="V35" s="517" t="str">
        <f t="shared" si="21"/>
        <v/>
      </c>
      <c r="W35" s="517" t="str">
        <f t="shared" si="21"/>
        <v/>
      </c>
      <c r="X35" s="517" t="str">
        <f t="shared" si="21"/>
        <v/>
      </c>
      <c r="Y35" s="517" t="str">
        <f t="shared" si="21"/>
        <v/>
      </c>
      <c r="Z35" s="517" t="str">
        <f t="shared" si="21"/>
        <v/>
      </c>
      <c r="AA35" s="517" t="str">
        <f t="shared" si="21"/>
        <v/>
      </c>
      <c r="AB35" s="517" t="str">
        <f t="shared" si="21"/>
        <v/>
      </c>
      <c r="AC35" s="517" t="str">
        <f t="shared" si="21"/>
        <v/>
      </c>
      <c r="AD35" s="517" t="str">
        <f t="shared" si="21"/>
        <v/>
      </c>
      <c r="AE35" s="517" t="str">
        <f t="shared" si="21"/>
        <v/>
      </c>
      <c r="AF35" s="517" t="str">
        <f t="shared" si="21"/>
        <v/>
      </c>
      <c r="AG35" s="517" t="str">
        <f t="shared" si="21"/>
        <v/>
      </c>
      <c r="AH35" s="517" t="str">
        <f t="shared" si="21"/>
        <v/>
      </c>
      <c r="AI35" s="517" t="str">
        <f t="shared" si="21"/>
        <v/>
      </c>
      <c r="AJ35" s="518"/>
      <c r="AK35" s="563"/>
      <c r="AL35" s="563"/>
      <c r="AM35" s="558">
        <f>SUM(C35:AI35)</f>
        <v>0</v>
      </c>
      <c r="AZ35" s="509"/>
      <c r="BC35" s="359">
        <f t="shared" si="19"/>
        <v>494</v>
      </c>
      <c r="BD35" s="360">
        <f>DATE($Y$2+1,5,8)</f>
        <v>494</v>
      </c>
      <c r="BE35" s="361" t="s">
        <v>728</v>
      </c>
      <c r="BF35" s="563"/>
      <c r="BG35" s="563"/>
      <c r="BH35" s="563"/>
      <c r="BI35" s="563"/>
      <c r="BJ35" s="70"/>
      <c r="BK35" s="57"/>
      <c r="BL35" s="57"/>
      <c r="BM35" s="57"/>
      <c r="BN35" s="586"/>
      <c r="BO35" s="1258"/>
      <c r="BP35" s="54"/>
      <c r="BQ35" s="55"/>
      <c r="BR35" s="56"/>
      <c r="BS35" s="56"/>
      <c r="BT35" s="56"/>
      <c r="BU35" s="56"/>
      <c r="BX35" s="1130"/>
      <c r="BY35" s="1112"/>
      <c r="BZ35" s="1133"/>
      <c r="CA35" s="1132"/>
      <c r="CB35" s="1132"/>
      <c r="CC35" s="1132"/>
      <c r="CD35" s="1112"/>
      <c r="CE35" s="1132"/>
      <c r="CF35" s="1132"/>
      <c r="CG35" s="1132"/>
      <c r="CH35" s="1133"/>
      <c r="CI35" s="1132"/>
      <c r="CJ35" s="1132"/>
      <c r="CK35" s="1132"/>
      <c r="CL35" s="1132"/>
      <c r="CM35" s="1164"/>
    </row>
    <row r="36" spans="2:91" ht="27" customHeight="1" x14ac:dyDescent="0.3">
      <c r="B36" s="557" t="s">
        <v>741</v>
      </c>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12"/>
      <c r="AK36" s="563"/>
      <c r="AL36" s="563"/>
      <c r="AM36" s="560" t="str">
        <f t="shared" si="5"/>
        <v>catherine</v>
      </c>
      <c r="AN36" s="513">
        <f>COUNTIF($C36:$AI36,AN$14)</f>
        <v>0</v>
      </c>
      <c r="AO36" s="513">
        <f>COUNTIF($C36:$AI36,AO$14)</f>
        <v>0</v>
      </c>
      <c r="AP36" s="513">
        <f t="shared" ref="AP36:AZ36" si="22">COUNTIF($C36:$AI36,AP$14)</f>
        <v>0</v>
      </c>
      <c r="AQ36" s="513">
        <f t="shared" si="22"/>
        <v>0</v>
      </c>
      <c r="AR36" s="513">
        <f t="shared" si="22"/>
        <v>0</v>
      </c>
      <c r="AS36" s="542">
        <f t="shared" si="22"/>
        <v>0</v>
      </c>
      <c r="AT36" s="545">
        <f t="shared" si="22"/>
        <v>0</v>
      </c>
      <c r="AU36" s="514">
        <f t="shared" si="22"/>
        <v>0</v>
      </c>
      <c r="AV36" s="515">
        <f t="shared" si="22"/>
        <v>0</v>
      </c>
      <c r="AW36" s="579">
        <f t="shared" si="22"/>
        <v>0</v>
      </c>
      <c r="AX36" s="516">
        <f t="shared" si="22"/>
        <v>0</v>
      </c>
      <c r="AY36" s="575">
        <f t="shared" si="22"/>
        <v>0</v>
      </c>
      <c r="AZ36" s="577">
        <f t="shared" si="22"/>
        <v>0</v>
      </c>
      <c r="BC36" s="359">
        <f t="shared" si="19"/>
        <v>44707</v>
      </c>
      <c r="BD36" s="360">
        <f>BD32+39</f>
        <v>44707</v>
      </c>
      <c r="BE36" s="361" t="s">
        <v>729</v>
      </c>
      <c r="BF36" s="563"/>
      <c r="BG36" s="563"/>
      <c r="BH36" s="563"/>
      <c r="BI36" s="563"/>
      <c r="BJ36" s="547" t="s">
        <v>90</v>
      </c>
      <c r="BK36" s="50">
        <v>0.29166666666666669</v>
      </c>
      <c r="BL36" s="50">
        <v>0.64583333333333337</v>
      </c>
      <c r="BM36" s="51">
        <v>1</v>
      </c>
      <c r="BN36" s="589">
        <f>IF(BL36-BK36=0,0,(BL36-BK36)-(BM36*TIMEVALUE("00:30")))</f>
        <v>0.33333333333333337</v>
      </c>
      <c r="BO36" s="587" t="s">
        <v>128</v>
      </c>
      <c r="BP36" s="54"/>
      <c r="BQ36" s="55"/>
      <c r="BR36" s="56"/>
      <c r="BS36" s="56"/>
      <c r="BT36" s="56"/>
      <c r="BU36" s="56"/>
      <c r="BX36" s="1098"/>
      <c r="BY36" s="1100"/>
      <c r="BZ36" s="1117" t="s">
        <v>542</v>
      </c>
      <c r="CA36" s="1111" t="s">
        <v>543</v>
      </c>
      <c r="CB36" s="1111"/>
      <c r="CC36" s="1111"/>
      <c r="CD36" s="1103"/>
      <c r="CE36" s="1135"/>
      <c r="CF36" s="1135"/>
      <c r="CG36" s="1135"/>
      <c r="CH36" s="1118" t="s">
        <v>546</v>
      </c>
      <c r="CI36" s="1111" t="s">
        <v>547</v>
      </c>
      <c r="CJ36" s="1135"/>
      <c r="CK36" s="1111"/>
      <c r="CL36" s="1111"/>
      <c r="CM36" s="1166"/>
    </row>
    <row r="37" spans="2:91" ht="15" customHeight="1" thickBot="1" x14ac:dyDescent="0.3">
      <c r="B37" s="556">
        <f>SUM(C37:AI37)</f>
        <v>0</v>
      </c>
      <c r="C37" s="517" t="str">
        <f t="shared" ref="C37:AI37" si="23">IF(C36=$T$11,$T$12,IF(C36=$U$11,$U$12,IF(C36=$V$11,$V$12,IF(C36=$W$11,$W$12,IF(C36=$X$11,$X$12,"")))))</f>
        <v/>
      </c>
      <c r="D37" s="517" t="str">
        <f t="shared" si="23"/>
        <v/>
      </c>
      <c r="E37" s="517" t="str">
        <f t="shared" si="23"/>
        <v/>
      </c>
      <c r="F37" s="517" t="str">
        <f t="shared" si="23"/>
        <v/>
      </c>
      <c r="G37" s="517" t="str">
        <f t="shared" si="23"/>
        <v/>
      </c>
      <c r="H37" s="517" t="str">
        <f t="shared" si="23"/>
        <v/>
      </c>
      <c r="I37" s="517" t="str">
        <f t="shared" si="23"/>
        <v/>
      </c>
      <c r="J37" s="517" t="str">
        <f t="shared" si="23"/>
        <v/>
      </c>
      <c r="K37" s="517" t="str">
        <f t="shared" si="23"/>
        <v/>
      </c>
      <c r="L37" s="517" t="str">
        <f t="shared" si="23"/>
        <v/>
      </c>
      <c r="M37" s="517" t="str">
        <f t="shared" si="23"/>
        <v/>
      </c>
      <c r="N37" s="517" t="str">
        <f t="shared" si="23"/>
        <v/>
      </c>
      <c r="O37" s="517" t="str">
        <f t="shared" si="23"/>
        <v/>
      </c>
      <c r="P37" s="517" t="str">
        <f t="shared" si="23"/>
        <v/>
      </c>
      <c r="Q37" s="517" t="str">
        <f t="shared" si="23"/>
        <v/>
      </c>
      <c r="R37" s="517" t="str">
        <f t="shared" si="23"/>
        <v/>
      </c>
      <c r="S37" s="517" t="str">
        <f t="shared" si="23"/>
        <v/>
      </c>
      <c r="T37" s="517" t="str">
        <f t="shared" si="23"/>
        <v/>
      </c>
      <c r="U37" s="517" t="str">
        <f t="shared" si="23"/>
        <v/>
      </c>
      <c r="V37" s="517" t="str">
        <f t="shared" si="23"/>
        <v/>
      </c>
      <c r="W37" s="517" t="str">
        <f t="shared" si="23"/>
        <v/>
      </c>
      <c r="X37" s="517" t="str">
        <f t="shared" si="23"/>
        <v/>
      </c>
      <c r="Y37" s="517" t="str">
        <f t="shared" si="23"/>
        <v/>
      </c>
      <c r="Z37" s="517" t="str">
        <f t="shared" si="23"/>
        <v/>
      </c>
      <c r="AA37" s="517" t="str">
        <f t="shared" si="23"/>
        <v/>
      </c>
      <c r="AB37" s="517" t="str">
        <f t="shared" si="23"/>
        <v/>
      </c>
      <c r="AC37" s="517" t="str">
        <f t="shared" si="23"/>
        <v/>
      </c>
      <c r="AD37" s="517" t="str">
        <f t="shared" si="23"/>
        <v/>
      </c>
      <c r="AE37" s="517" t="str">
        <f t="shared" si="23"/>
        <v/>
      </c>
      <c r="AF37" s="517" t="str">
        <f t="shared" si="23"/>
        <v/>
      </c>
      <c r="AG37" s="517" t="str">
        <f t="shared" si="23"/>
        <v/>
      </c>
      <c r="AH37" s="517" t="str">
        <f t="shared" si="23"/>
        <v/>
      </c>
      <c r="AI37" s="517" t="str">
        <f t="shared" si="23"/>
        <v/>
      </c>
      <c r="AJ37" s="518"/>
      <c r="AK37" s="563"/>
      <c r="AL37" s="563"/>
      <c r="AM37" s="561">
        <f>SUM(C37:AI37)</f>
        <v>0</v>
      </c>
      <c r="AZ37" s="509"/>
      <c r="BC37" s="359">
        <f t="shared" si="19"/>
        <v>44717</v>
      </c>
      <c r="BD37" s="360">
        <f>BD32+49</f>
        <v>44717</v>
      </c>
      <c r="BE37" s="361" t="s">
        <v>731</v>
      </c>
      <c r="BF37" s="563"/>
      <c r="BG37" s="563"/>
      <c r="BH37" s="563"/>
      <c r="BI37" s="563"/>
      <c r="BJ37" s="70"/>
      <c r="BK37" s="57"/>
      <c r="BL37" s="57"/>
      <c r="BM37" s="57"/>
      <c r="BN37" s="586"/>
      <c r="BO37" s="1258"/>
      <c r="BP37" s="54"/>
      <c r="BQ37" s="55"/>
      <c r="BR37" s="56"/>
      <c r="BS37" s="56"/>
      <c r="BT37" s="56"/>
      <c r="BU37" s="56"/>
      <c r="BX37" s="1130"/>
      <c r="BY37" s="1112"/>
      <c r="BZ37" s="1133"/>
      <c r="CA37" s="1132"/>
      <c r="CB37" s="1132"/>
      <c r="CC37" s="1132"/>
      <c r="CD37" s="1112"/>
      <c r="CE37" s="1132"/>
      <c r="CF37" s="1132"/>
      <c r="CG37" s="1132"/>
      <c r="CH37" s="1133"/>
      <c r="CI37" s="1132"/>
      <c r="CJ37" s="1132"/>
      <c r="CK37" s="1132"/>
      <c r="CL37" s="1132"/>
      <c r="CM37" s="1164"/>
    </row>
    <row r="38" spans="2:91" ht="27" customHeight="1" thickTop="1" thickBot="1" x14ac:dyDescent="0.35">
      <c r="B38" s="557" t="s">
        <v>742</v>
      </c>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12"/>
      <c r="AK38" s="563"/>
      <c r="AL38" s="563"/>
      <c r="AM38" s="559" t="str">
        <f t="shared" si="5"/>
        <v>adèle</v>
      </c>
      <c r="AN38" s="513">
        <f>COUNTIF($C38:$AI38,AN$14)</f>
        <v>0</v>
      </c>
      <c r="AO38" s="513">
        <f>COUNTIF($C38:$AI38,AO$14)</f>
        <v>0</v>
      </c>
      <c r="AP38" s="513">
        <f t="shared" ref="AP38:AZ38" si="24">COUNTIF($C38:$AI38,AP$14)</f>
        <v>0</v>
      </c>
      <c r="AQ38" s="513">
        <f t="shared" si="24"/>
        <v>0</v>
      </c>
      <c r="AR38" s="513">
        <f t="shared" si="24"/>
        <v>0</v>
      </c>
      <c r="AS38" s="542">
        <f t="shared" si="24"/>
        <v>0</v>
      </c>
      <c r="AT38" s="545">
        <f t="shared" si="24"/>
        <v>0</v>
      </c>
      <c r="AU38" s="514">
        <f t="shared" si="24"/>
        <v>0</v>
      </c>
      <c r="AV38" s="515">
        <f t="shared" si="24"/>
        <v>0</v>
      </c>
      <c r="AW38" s="579">
        <f t="shared" si="24"/>
        <v>0</v>
      </c>
      <c r="AX38" s="516">
        <f t="shared" si="24"/>
        <v>0</v>
      </c>
      <c r="AY38" s="575">
        <f t="shared" si="24"/>
        <v>0</v>
      </c>
      <c r="AZ38" s="577">
        <f t="shared" si="24"/>
        <v>0</v>
      </c>
      <c r="BC38" s="359">
        <f t="shared" si="19"/>
        <v>44718</v>
      </c>
      <c r="BD38" s="360">
        <f>BD37+1</f>
        <v>44718</v>
      </c>
      <c r="BE38" s="361" t="s">
        <v>732</v>
      </c>
      <c r="BF38" s="563"/>
      <c r="BG38" s="563"/>
      <c r="BH38" s="563"/>
      <c r="BI38" s="563"/>
      <c r="BJ38" s="547" t="s">
        <v>91</v>
      </c>
      <c r="BK38" s="50">
        <v>0.25</v>
      </c>
      <c r="BL38" s="50">
        <v>0.58333333333333337</v>
      </c>
      <c r="BM38" s="51">
        <v>1</v>
      </c>
      <c r="BN38" s="589">
        <f>IF(BL38-BK38=0,0,(BL38-BK38)-(BM38*TIMEVALUE("00:30")))</f>
        <v>0.31250000000000006</v>
      </c>
      <c r="BO38" s="587" t="s">
        <v>69</v>
      </c>
      <c r="BP38" s="54"/>
      <c r="BQ38" s="55"/>
      <c r="BR38" s="56"/>
      <c r="BS38" s="56"/>
      <c r="BT38" s="56"/>
      <c r="BU38" s="56"/>
      <c r="BX38" s="1098"/>
      <c r="BY38" s="1100"/>
      <c r="BZ38" s="1134" t="s">
        <v>362</v>
      </c>
      <c r="CA38" s="1111" t="s">
        <v>363</v>
      </c>
      <c r="CB38" s="1111"/>
      <c r="CC38" s="1111"/>
      <c r="CD38" s="1103"/>
      <c r="CE38" s="1135"/>
      <c r="CF38" s="1135"/>
      <c r="CG38" s="1135"/>
      <c r="CH38" s="1170" t="s">
        <v>665</v>
      </c>
      <c r="CI38" s="1171"/>
      <c r="CJ38" s="1135"/>
      <c r="CK38" s="1111"/>
      <c r="CL38" s="580"/>
      <c r="CM38" s="1166"/>
    </row>
    <row r="39" spans="2:91" ht="15" customHeight="1" thickTop="1" x14ac:dyDescent="0.25">
      <c r="B39" s="556">
        <f>SUM(C39:AI39)</f>
        <v>0</v>
      </c>
      <c r="C39" s="517" t="str">
        <f t="shared" ref="C39:AI39" si="25">IF(C38=$T$11,$T$12,IF(C38=$U$11,$U$12,IF(C38=$V$11,$V$12,IF(C38=$W$11,$W$12,IF(C38=$X$11,$X$12,"")))))</f>
        <v/>
      </c>
      <c r="D39" s="517" t="str">
        <f t="shared" si="25"/>
        <v/>
      </c>
      <c r="E39" s="517" t="str">
        <f t="shared" si="25"/>
        <v/>
      </c>
      <c r="F39" s="517" t="str">
        <f t="shared" si="25"/>
        <v/>
      </c>
      <c r="G39" s="517" t="str">
        <f t="shared" si="25"/>
        <v/>
      </c>
      <c r="H39" s="517" t="str">
        <f t="shared" si="25"/>
        <v/>
      </c>
      <c r="I39" s="517" t="str">
        <f t="shared" si="25"/>
        <v/>
      </c>
      <c r="J39" s="517" t="str">
        <f t="shared" si="25"/>
        <v/>
      </c>
      <c r="K39" s="517" t="str">
        <f t="shared" si="25"/>
        <v/>
      </c>
      <c r="L39" s="517" t="str">
        <f t="shared" si="25"/>
        <v/>
      </c>
      <c r="M39" s="517" t="str">
        <f t="shared" si="25"/>
        <v/>
      </c>
      <c r="N39" s="517" t="str">
        <f t="shared" si="25"/>
        <v/>
      </c>
      <c r="O39" s="517" t="str">
        <f t="shared" si="25"/>
        <v/>
      </c>
      <c r="P39" s="517" t="str">
        <f t="shared" si="25"/>
        <v/>
      </c>
      <c r="Q39" s="517" t="str">
        <f t="shared" si="25"/>
        <v/>
      </c>
      <c r="R39" s="517" t="str">
        <f t="shared" si="25"/>
        <v/>
      </c>
      <c r="S39" s="517" t="str">
        <f t="shared" si="25"/>
        <v/>
      </c>
      <c r="T39" s="517" t="str">
        <f t="shared" si="25"/>
        <v/>
      </c>
      <c r="U39" s="517" t="str">
        <f t="shared" si="25"/>
        <v/>
      </c>
      <c r="V39" s="517" t="str">
        <f t="shared" si="25"/>
        <v/>
      </c>
      <c r="W39" s="517" t="str">
        <f t="shared" si="25"/>
        <v/>
      </c>
      <c r="X39" s="517" t="str">
        <f t="shared" si="25"/>
        <v/>
      </c>
      <c r="Y39" s="517" t="str">
        <f t="shared" si="25"/>
        <v/>
      </c>
      <c r="Z39" s="517" t="str">
        <f t="shared" si="25"/>
        <v/>
      </c>
      <c r="AA39" s="517" t="str">
        <f t="shared" si="25"/>
        <v/>
      </c>
      <c r="AB39" s="517" t="str">
        <f t="shared" si="25"/>
        <v/>
      </c>
      <c r="AC39" s="517" t="str">
        <f t="shared" si="25"/>
        <v/>
      </c>
      <c r="AD39" s="517" t="str">
        <f t="shared" si="25"/>
        <v/>
      </c>
      <c r="AE39" s="517" t="str">
        <f t="shared" si="25"/>
        <v/>
      </c>
      <c r="AF39" s="517" t="str">
        <f t="shared" si="25"/>
        <v/>
      </c>
      <c r="AG39" s="517" t="str">
        <f t="shared" si="25"/>
        <v/>
      </c>
      <c r="AH39" s="517" t="str">
        <f t="shared" si="25"/>
        <v/>
      </c>
      <c r="AI39" s="517" t="str">
        <f t="shared" si="25"/>
        <v/>
      </c>
      <c r="AJ39" s="518"/>
      <c r="AK39" s="563"/>
      <c r="AL39" s="563"/>
      <c r="AM39" s="558">
        <f>SUM(C39:AI39)</f>
        <v>0</v>
      </c>
      <c r="AZ39" s="509"/>
      <c r="BC39" s="359">
        <f t="shared" si="19"/>
        <v>44756</v>
      </c>
      <c r="BD39" s="360">
        <f>DATE(BC14+1,7,14)</f>
        <v>44756</v>
      </c>
      <c r="BE39" s="361" t="s">
        <v>733</v>
      </c>
      <c r="BF39" s="563"/>
      <c r="BG39" s="563"/>
      <c r="BH39" s="563"/>
      <c r="BI39" s="563"/>
      <c r="BJ39" s="56"/>
      <c r="BK39" s="56"/>
      <c r="BL39" s="56"/>
      <c r="BM39" s="56"/>
      <c r="BN39" s="56"/>
      <c r="BO39" s="56"/>
      <c r="BP39" s="56"/>
      <c r="BQ39" s="56"/>
      <c r="BR39" s="56"/>
      <c r="BS39" s="56"/>
      <c r="BT39" s="56"/>
      <c r="BU39" s="56"/>
      <c r="BX39" s="1130"/>
      <c r="BY39" s="1112"/>
      <c r="BZ39" s="1133"/>
      <c r="CA39" s="1132"/>
      <c r="CB39" s="1132"/>
      <c r="CC39" s="1132"/>
      <c r="CD39" s="1112"/>
      <c r="CE39" s="1112"/>
      <c r="CF39" s="1112"/>
      <c r="CG39" s="1112"/>
      <c r="CH39" s="1110"/>
      <c r="CI39" s="1112"/>
      <c r="CJ39" s="1112"/>
      <c r="CK39" s="1112"/>
      <c r="CL39" s="1112"/>
      <c r="CM39" s="1131"/>
    </row>
    <row r="40" spans="2:91" ht="27" customHeight="1" x14ac:dyDescent="0.3">
      <c r="B40" s="557" t="s">
        <v>743</v>
      </c>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23"/>
      <c r="AK40" s="563"/>
      <c r="AL40" s="563"/>
      <c r="AM40" s="560" t="str">
        <f t="shared" si="5"/>
        <v>alice</v>
      </c>
      <c r="AN40" s="513">
        <f>COUNTIF($C40:$AI40,AN$14)</f>
        <v>0</v>
      </c>
      <c r="AO40" s="513">
        <f>COUNTIF($C40:$AI40,AO$14)</f>
        <v>0</v>
      </c>
      <c r="AP40" s="513">
        <f t="shared" ref="AP40:AZ40" si="26">COUNTIF($C40:$AI40,AP$14)</f>
        <v>0</v>
      </c>
      <c r="AQ40" s="513">
        <f t="shared" si="26"/>
        <v>0</v>
      </c>
      <c r="AR40" s="513">
        <f t="shared" si="26"/>
        <v>0</v>
      </c>
      <c r="AS40" s="542">
        <f t="shared" si="26"/>
        <v>0</v>
      </c>
      <c r="AT40" s="545">
        <f t="shared" si="26"/>
        <v>0</v>
      </c>
      <c r="AU40" s="514">
        <f t="shared" si="26"/>
        <v>0</v>
      </c>
      <c r="AV40" s="515">
        <f t="shared" si="26"/>
        <v>0</v>
      </c>
      <c r="AW40" s="579">
        <f t="shared" si="26"/>
        <v>0</v>
      </c>
      <c r="AX40" s="516">
        <f t="shared" si="26"/>
        <v>0</v>
      </c>
      <c r="AY40" s="575">
        <f t="shared" si="26"/>
        <v>0</v>
      </c>
      <c r="AZ40" s="577">
        <f t="shared" si="26"/>
        <v>0</v>
      </c>
      <c r="BC40" s="359">
        <f t="shared" si="19"/>
        <v>44788</v>
      </c>
      <c r="BD40" s="360">
        <f>DATE(BC14+1,8,15)</f>
        <v>44788</v>
      </c>
      <c r="BE40" s="361" t="s">
        <v>586</v>
      </c>
      <c r="BF40" s="563"/>
      <c r="BG40" s="563"/>
      <c r="BH40" s="563"/>
      <c r="BI40" s="563"/>
      <c r="BJ40" s="1520" t="s">
        <v>70</v>
      </c>
      <c r="BK40" s="1520"/>
      <c r="BL40" s="1520"/>
      <c r="BM40" s="1520"/>
      <c r="BN40" s="1520"/>
      <c r="BO40" s="1520"/>
      <c r="BP40" s="1520"/>
      <c r="BQ40" s="1520"/>
      <c r="BR40" s="1520"/>
      <c r="BS40" s="1520"/>
      <c r="BT40" s="1520"/>
      <c r="BU40" s="1520"/>
      <c r="BX40" s="1098"/>
      <c r="BY40" s="1120"/>
      <c r="BZ40" s="1120"/>
      <c r="CA40" s="1120"/>
      <c r="CB40" s="1111"/>
      <c r="CC40" s="1135"/>
      <c r="CD40" s="1101"/>
      <c r="CE40" s="1112"/>
      <c r="CF40" s="1121" t="s">
        <v>666</v>
      </c>
      <c r="CG40" s="1122" t="s">
        <v>667</v>
      </c>
      <c r="CH40" s="1123">
        <v>0</v>
      </c>
      <c r="CI40" s="1124">
        <v>0</v>
      </c>
      <c r="CJ40" s="1125">
        <v>0</v>
      </c>
      <c r="CK40" s="1126">
        <f>(CI40-CH40)-("00:30"*CJ40)</f>
        <v>0</v>
      </c>
      <c r="CL40" s="1119"/>
      <c r="CM40" s="313"/>
    </row>
    <row r="41" spans="2:91" ht="15" customHeight="1" x14ac:dyDescent="0.25">
      <c r="B41" s="556">
        <f>SUM(C41:AI41)</f>
        <v>0</v>
      </c>
      <c r="C41" s="517" t="str">
        <f t="shared" ref="C41:AI41" si="27">IF(C40=$T$11,$T$12,IF(C40=$U$11,$U$12,IF(C40=$V$11,$V$12,IF(C40=$W$11,$W$12,IF(C40=$X$11,$X$12,"")))))</f>
        <v/>
      </c>
      <c r="D41" s="517" t="str">
        <f t="shared" si="27"/>
        <v/>
      </c>
      <c r="E41" s="517" t="str">
        <f t="shared" si="27"/>
        <v/>
      </c>
      <c r="F41" s="517" t="str">
        <f t="shared" si="27"/>
        <v/>
      </c>
      <c r="G41" s="517" t="str">
        <f t="shared" si="27"/>
        <v/>
      </c>
      <c r="H41" s="517" t="str">
        <f t="shared" si="27"/>
        <v/>
      </c>
      <c r="I41" s="517" t="str">
        <f t="shared" si="27"/>
        <v/>
      </c>
      <c r="J41" s="517" t="str">
        <f t="shared" si="27"/>
        <v/>
      </c>
      <c r="K41" s="517" t="str">
        <f t="shared" si="27"/>
        <v/>
      </c>
      <c r="L41" s="517" t="str">
        <f t="shared" si="27"/>
        <v/>
      </c>
      <c r="M41" s="517" t="str">
        <f t="shared" si="27"/>
        <v/>
      </c>
      <c r="N41" s="517" t="str">
        <f t="shared" si="27"/>
        <v/>
      </c>
      <c r="O41" s="517" t="str">
        <f t="shared" si="27"/>
        <v/>
      </c>
      <c r="P41" s="517" t="str">
        <f t="shared" si="27"/>
        <v/>
      </c>
      <c r="Q41" s="517" t="str">
        <f t="shared" si="27"/>
        <v/>
      </c>
      <c r="R41" s="517" t="str">
        <f t="shared" si="27"/>
        <v/>
      </c>
      <c r="S41" s="517" t="str">
        <f t="shared" si="27"/>
        <v/>
      </c>
      <c r="T41" s="517" t="str">
        <f t="shared" si="27"/>
        <v/>
      </c>
      <c r="U41" s="517" t="str">
        <f t="shared" si="27"/>
        <v/>
      </c>
      <c r="V41" s="517" t="str">
        <f t="shared" si="27"/>
        <v/>
      </c>
      <c r="W41" s="517" t="str">
        <f t="shared" si="27"/>
        <v/>
      </c>
      <c r="X41" s="517" t="str">
        <f t="shared" si="27"/>
        <v/>
      </c>
      <c r="Y41" s="517" t="str">
        <f t="shared" si="27"/>
        <v/>
      </c>
      <c r="Z41" s="517" t="str">
        <f t="shared" si="27"/>
        <v/>
      </c>
      <c r="AA41" s="517" t="str">
        <f t="shared" si="27"/>
        <v/>
      </c>
      <c r="AB41" s="517" t="str">
        <f t="shared" si="27"/>
        <v/>
      </c>
      <c r="AC41" s="517" t="str">
        <f t="shared" si="27"/>
        <v/>
      </c>
      <c r="AD41" s="517" t="str">
        <f t="shared" si="27"/>
        <v/>
      </c>
      <c r="AE41" s="517" t="str">
        <f t="shared" si="27"/>
        <v/>
      </c>
      <c r="AF41" s="517" t="str">
        <f t="shared" si="27"/>
        <v/>
      </c>
      <c r="AG41" s="517" t="str">
        <f t="shared" si="27"/>
        <v/>
      </c>
      <c r="AH41" s="517" t="str">
        <f t="shared" si="27"/>
        <v/>
      </c>
      <c r="AI41" s="517" t="str">
        <f t="shared" si="27"/>
        <v/>
      </c>
      <c r="AJ41" s="518"/>
      <c r="AK41" s="563"/>
      <c r="AL41" s="563"/>
      <c r="AM41" s="561">
        <f>SUM(C41:AI41)</f>
        <v>0</v>
      </c>
      <c r="AZ41" s="509"/>
      <c r="BC41" s="359">
        <f t="shared" si="19"/>
        <v>44866</v>
      </c>
      <c r="BD41" s="360">
        <f>DATE(BC14+1,11,1)</f>
        <v>44866</v>
      </c>
      <c r="BE41" s="361" t="s">
        <v>735</v>
      </c>
      <c r="BF41" s="563"/>
      <c r="BG41" s="563"/>
      <c r="BH41" s="563"/>
      <c r="BI41" s="563"/>
      <c r="BJ41" s="1520"/>
      <c r="BK41" s="1520"/>
      <c r="BL41" s="1520"/>
      <c r="BM41" s="1520"/>
      <c r="BN41" s="1520"/>
      <c r="BO41" s="1520"/>
      <c r="BP41" s="1520"/>
      <c r="BQ41" s="1520"/>
      <c r="BR41" s="1520"/>
      <c r="BS41" s="1520"/>
      <c r="BT41" s="1520"/>
      <c r="BU41" s="1520"/>
      <c r="BX41" s="1130"/>
      <c r="BY41" s="1112"/>
      <c r="BZ41" s="1132"/>
      <c r="CA41" s="1132"/>
      <c r="CB41" s="1132"/>
      <c r="CC41" s="1132"/>
      <c r="CD41" s="1112"/>
      <c r="CE41" s="1112"/>
      <c r="CF41" s="1112"/>
      <c r="CG41" s="1110"/>
      <c r="CH41" s="1110"/>
      <c r="CI41" s="1110"/>
      <c r="CJ41" s="1110"/>
      <c r="CK41" s="1110"/>
      <c r="CL41" s="1112"/>
      <c r="CM41" s="1131"/>
    </row>
    <row r="42" spans="2:91" ht="27" customHeight="1" x14ac:dyDescent="0.3">
      <c r="B42" s="557" t="s">
        <v>744</v>
      </c>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12"/>
      <c r="AK42" s="563"/>
      <c r="AL42" s="563"/>
      <c r="AM42" s="559" t="str">
        <f t="shared" si="5"/>
        <v>étienne</v>
      </c>
      <c r="AN42" s="513">
        <f>COUNTIF($C42:$AI42,AN$14)</f>
        <v>0</v>
      </c>
      <c r="AO42" s="513">
        <f>COUNTIF($C42:$AI42,AO$14)</f>
        <v>0</v>
      </c>
      <c r="AP42" s="513">
        <f t="shared" ref="AP42:AZ42" si="28">COUNTIF($C42:$AI42,AP$14)</f>
        <v>0</v>
      </c>
      <c r="AQ42" s="513">
        <f t="shared" si="28"/>
        <v>0</v>
      </c>
      <c r="AR42" s="513">
        <f t="shared" si="28"/>
        <v>0</v>
      </c>
      <c r="AS42" s="542">
        <f t="shared" si="28"/>
        <v>0</v>
      </c>
      <c r="AT42" s="545">
        <f t="shared" si="28"/>
        <v>0</v>
      </c>
      <c r="AU42" s="514">
        <f t="shared" si="28"/>
        <v>0</v>
      </c>
      <c r="AV42" s="515">
        <f t="shared" si="28"/>
        <v>0</v>
      </c>
      <c r="AW42" s="579">
        <f t="shared" si="28"/>
        <v>0</v>
      </c>
      <c r="AX42" s="516">
        <f t="shared" si="28"/>
        <v>0</v>
      </c>
      <c r="AY42" s="575">
        <f t="shared" si="28"/>
        <v>0</v>
      </c>
      <c r="AZ42" s="577">
        <f t="shared" si="28"/>
        <v>0</v>
      </c>
      <c r="BC42" s="359">
        <f t="shared" si="19"/>
        <v>44876</v>
      </c>
      <c r="BD42" s="360">
        <f>DATE(BC14+1,11,11)</f>
        <v>44876</v>
      </c>
      <c r="BE42" s="361" t="s">
        <v>587</v>
      </c>
      <c r="BF42" s="563"/>
      <c r="BG42" s="563"/>
      <c r="BH42" s="563"/>
      <c r="BI42" s="563"/>
      <c r="BJ42" s="547" t="s">
        <v>92</v>
      </c>
      <c r="BK42" s="50">
        <v>0.33333333333333331</v>
      </c>
      <c r="BL42" s="50">
        <v>0.5</v>
      </c>
      <c r="BM42" s="51">
        <v>0</v>
      </c>
      <c r="BN42" s="589">
        <f>IF(BL42-BK42=0,0,(BL42-BK42)-(BM42*TIMEVALUE("00:30")))</f>
        <v>0.16666666666666669</v>
      </c>
      <c r="BO42" s="587" t="s">
        <v>71</v>
      </c>
      <c r="BP42" s="1258"/>
      <c r="BQ42" s="55"/>
      <c r="BR42" s="56"/>
      <c r="BS42" s="56"/>
      <c r="BT42" s="56"/>
      <c r="BU42" s="56"/>
      <c r="BX42" s="1098"/>
      <c r="BY42" s="1136" t="s">
        <v>538</v>
      </c>
      <c r="BZ42" s="1137" t="s">
        <v>539</v>
      </c>
      <c r="CA42" s="1138"/>
      <c r="CB42" s="1139"/>
      <c r="CC42" s="1139"/>
      <c r="CD42" s="1139"/>
      <c r="CE42" s="1140"/>
      <c r="CF42" s="1141" t="s">
        <v>666</v>
      </c>
      <c r="CG42" s="1142">
        <v>6</v>
      </c>
      <c r="CH42" s="1143">
        <v>0.29166666666666669</v>
      </c>
      <c r="CI42" s="1144">
        <v>0.60416666666666663</v>
      </c>
      <c r="CJ42" s="1145">
        <v>1</v>
      </c>
      <c r="CK42" s="1146">
        <f>(CI42-CH42)-("00:30"*CJ42)</f>
        <v>0.29166666666666663</v>
      </c>
      <c r="CL42" s="1147"/>
      <c r="CM42" s="313"/>
    </row>
    <row r="43" spans="2:91" ht="15" customHeight="1" x14ac:dyDescent="0.3">
      <c r="B43" s="556">
        <f>SUM(C43:AI43)</f>
        <v>0</v>
      </c>
      <c r="C43" s="517" t="str">
        <f t="shared" ref="C43:AI43" si="29">IF(C42=$T$11,$T$12,IF(C42=$U$11,$U$12,IF(C42=$V$11,$V$12,IF(C42=$W$11,$W$12,IF(C42=$X$11,$X$12,"")))))</f>
        <v/>
      </c>
      <c r="D43" s="517" t="str">
        <f t="shared" si="29"/>
        <v/>
      </c>
      <c r="E43" s="517" t="str">
        <f t="shared" si="29"/>
        <v/>
      </c>
      <c r="F43" s="517" t="str">
        <f t="shared" si="29"/>
        <v/>
      </c>
      <c r="G43" s="517" t="str">
        <f t="shared" si="29"/>
        <v/>
      </c>
      <c r="H43" s="517" t="str">
        <f t="shared" si="29"/>
        <v/>
      </c>
      <c r="I43" s="517" t="str">
        <f t="shared" si="29"/>
        <v/>
      </c>
      <c r="J43" s="517" t="str">
        <f t="shared" si="29"/>
        <v/>
      </c>
      <c r="K43" s="517" t="str">
        <f t="shared" si="29"/>
        <v/>
      </c>
      <c r="L43" s="517" t="str">
        <f t="shared" si="29"/>
        <v/>
      </c>
      <c r="M43" s="517" t="str">
        <f t="shared" si="29"/>
        <v/>
      </c>
      <c r="N43" s="517" t="str">
        <f t="shared" si="29"/>
        <v/>
      </c>
      <c r="O43" s="517" t="str">
        <f t="shared" si="29"/>
        <v/>
      </c>
      <c r="P43" s="517" t="str">
        <f t="shared" si="29"/>
        <v/>
      </c>
      <c r="Q43" s="517" t="str">
        <f t="shared" si="29"/>
        <v/>
      </c>
      <c r="R43" s="517" t="str">
        <f t="shared" si="29"/>
        <v/>
      </c>
      <c r="S43" s="517" t="str">
        <f t="shared" si="29"/>
        <v/>
      </c>
      <c r="T43" s="517" t="str">
        <f t="shared" si="29"/>
        <v/>
      </c>
      <c r="U43" s="517" t="str">
        <f t="shared" si="29"/>
        <v/>
      </c>
      <c r="V43" s="517" t="str">
        <f t="shared" si="29"/>
        <v/>
      </c>
      <c r="W43" s="517" t="str">
        <f t="shared" si="29"/>
        <v/>
      </c>
      <c r="X43" s="517" t="str">
        <f t="shared" si="29"/>
        <v/>
      </c>
      <c r="Y43" s="517" t="str">
        <f t="shared" si="29"/>
        <v/>
      </c>
      <c r="Z43" s="517" t="str">
        <f t="shared" si="29"/>
        <v/>
      </c>
      <c r="AA43" s="517" t="str">
        <f t="shared" si="29"/>
        <v/>
      </c>
      <c r="AB43" s="517" t="str">
        <f t="shared" si="29"/>
        <v/>
      </c>
      <c r="AC43" s="517" t="str">
        <f t="shared" si="29"/>
        <v/>
      </c>
      <c r="AD43" s="517" t="str">
        <f t="shared" si="29"/>
        <v/>
      </c>
      <c r="AE43" s="517" t="str">
        <f t="shared" si="29"/>
        <v/>
      </c>
      <c r="AF43" s="517" t="str">
        <f t="shared" si="29"/>
        <v/>
      </c>
      <c r="AG43" s="517" t="str">
        <f t="shared" si="29"/>
        <v/>
      </c>
      <c r="AH43" s="517" t="str">
        <f t="shared" si="29"/>
        <v/>
      </c>
      <c r="AI43" s="517" t="str">
        <f t="shared" si="29"/>
        <v/>
      </c>
      <c r="AJ43" s="518"/>
      <c r="AK43" s="563"/>
      <c r="AL43" s="563"/>
      <c r="AM43" s="558">
        <f>SUM(C43:AI43)</f>
        <v>0</v>
      </c>
      <c r="AZ43" s="509"/>
      <c r="BC43" s="359">
        <f t="shared" si="19"/>
        <v>44920</v>
      </c>
      <c r="BD43" s="360">
        <f>DATE(BC14+1,12,25)</f>
        <v>44920</v>
      </c>
      <c r="BE43" s="361" t="s">
        <v>723</v>
      </c>
      <c r="BF43" s="563"/>
      <c r="BG43" s="563"/>
      <c r="BH43" s="563"/>
      <c r="BI43" s="563"/>
      <c r="BJ43" s="70"/>
      <c r="BK43" s="57"/>
      <c r="BL43" s="57"/>
      <c r="BM43" s="57"/>
      <c r="BN43" s="1258"/>
      <c r="BO43" s="1258"/>
      <c r="BP43" s="1258"/>
      <c r="BQ43" s="55"/>
      <c r="BR43" s="56"/>
      <c r="BS43" s="56"/>
      <c r="BT43" s="56"/>
      <c r="BU43" s="56"/>
      <c r="BX43" s="1130"/>
      <c r="BY43" s="1140"/>
      <c r="BZ43" s="1140"/>
      <c r="CA43" s="1140"/>
      <c r="CB43" s="1140"/>
      <c r="CC43" s="1140"/>
      <c r="CD43" s="1140"/>
      <c r="CE43" s="1140"/>
      <c r="CF43" s="1140"/>
      <c r="CG43" s="1148"/>
      <c r="CH43" s="1148"/>
      <c r="CI43" s="1148"/>
      <c r="CJ43" s="1148"/>
      <c r="CK43" s="1148"/>
      <c r="CL43" s="1140"/>
      <c r="CM43" s="1131"/>
    </row>
    <row r="44" spans="2:91" ht="27" customHeight="1" x14ac:dyDescent="0.3">
      <c r="B44" s="557" t="s">
        <v>745</v>
      </c>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12"/>
      <c r="AK44" s="563"/>
      <c r="AL44" s="563"/>
      <c r="AM44" s="560" t="str">
        <f t="shared" si="5"/>
        <v>marcel</v>
      </c>
      <c r="AN44" s="513">
        <f>COUNTIF($C44:$AI44,AN$14)</f>
        <v>0</v>
      </c>
      <c r="AO44" s="513">
        <f>COUNTIF($C44:$AI44,AO$14)</f>
        <v>0</v>
      </c>
      <c r="AP44" s="513">
        <f t="shared" ref="AP44:AZ44" si="30">COUNTIF($C44:$AI44,AP$14)</f>
        <v>0</v>
      </c>
      <c r="AQ44" s="513">
        <f t="shared" si="30"/>
        <v>0</v>
      </c>
      <c r="AR44" s="513">
        <f t="shared" si="30"/>
        <v>0</v>
      </c>
      <c r="AS44" s="542">
        <f t="shared" si="30"/>
        <v>0</v>
      </c>
      <c r="AT44" s="545">
        <f t="shared" si="30"/>
        <v>0</v>
      </c>
      <c r="AU44" s="514">
        <f t="shared" si="30"/>
        <v>0</v>
      </c>
      <c r="AV44" s="515">
        <f t="shared" si="30"/>
        <v>0</v>
      </c>
      <c r="AW44" s="579">
        <f t="shared" si="30"/>
        <v>0</v>
      </c>
      <c r="AX44" s="516">
        <f t="shared" si="30"/>
        <v>0</v>
      </c>
      <c r="AY44" s="575">
        <f t="shared" si="30"/>
        <v>0</v>
      </c>
      <c r="AZ44" s="577">
        <f t="shared" si="30"/>
        <v>0</v>
      </c>
      <c r="BC44" s="366">
        <f>BD44</f>
        <v>44927</v>
      </c>
      <c r="BD44" s="367">
        <f>DATE(BC14+2,1,1)</f>
        <v>44927</v>
      </c>
      <c r="BE44" s="368" t="s">
        <v>721</v>
      </c>
      <c r="BF44" s="563"/>
      <c r="BG44" s="563"/>
      <c r="BH44" s="563"/>
      <c r="BI44" s="563"/>
      <c r="BJ44" s="547" t="s">
        <v>93</v>
      </c>
      <c r="BK44" s="50">
        <v>0.29166666666666669</v>
      </c>
      <c r="BL44" s="50">
        <v>0.625</v>
      </c>
      <c r="BM44" s="51">
        <v>1</v>
      </c>
      <c r="BN44" s="589">
        <f>IF(BL44-BK44=0,0,(BL44-BK44)-(BM44*TIMEVALUE("00:30")))</f>
        <v>0.3125</v>
      </c>
      <c r="BO44" s="587" t="s">
        <v>129</v>
      </c>
      <c r="BP44" s="1258"/>
      <c r="BQ44" s="55"/>
      <c r="BR44" s="56"/>
      <c r="BS44" s="56"/>
      <c r="BT44" s="56"/>
      <c r="BU44" s="56"/>
      <c r="BX44" s="1098"/>
      <c r="BY44" s="1136" t="s">
        <v>540</v>
      </c>
      <c r="BZ44" s="1137" t="s">
        <v>541</v>
      </c>
      <c r="CA44" s="1138"/>
      <c r="CB44" s="1137"/>
      <c r="CC44" s="1138"/>
      <c r="CD44" s="1138"/>
      <c r="CE44" s="1140"/>
      <c r="CF44" s="1141" t="s">
        <v>553</v>
      </c>
      <c r="CG44" s="1142">
        <v>10</v>
      </c>
      <c r="CH44" s="1143">
        <v>0</v>
      </c>
      <c r="CI44" s="1144">
        <v>0</v>
      </c>
      <c r="CJ44" s="1145">
        <v>0</v>
      </c>
      <c r="CK44" s="1146">
        <f>(CI44-CH44)-("00:30"*CJ44)</f>
        <v>0</v>
      </c>
      <c r="CL44" s="1147"/>
      <c r="CM44" s="1094"/>
    </row>
    <row r="45" spans="2:91" ht="15" customHeight="1" x14ac:dyDescent="0.3">
      <c r="B45" s="556">
        <f>SUM(C45:AI45)</f>
        <v>0</v>
      </c>
      <c r="C45" s="517" t="str">
        <f t="shared" ref="C45:AI45" si="31">IF(C44=$T$11,$T$12,IF(C44=$U$11,$U$12,IF(C44=$V$11,$V$12,IF(C44=$W$11,$W$12,IF(C44=$X$11,$X$12,"")))))</f>
        <v/>
      </c>
      <c r="D45" s="517" t="str">
        <f t="shared" si="31"/>
        <v/>
      </c>
      <c r="E45" s="517" t="str">
        <f t="shared" si="31"/>
        <v/>
      </c>
      <c r="F45" s="517" t="str">
        <f t="shared" si="31"/>
        <v/>
      </c>
      <c r="G45" s="517" t="str">
        <f t="shared" si="31"/>
        <v/>
      </c>
      <c r="H45" s="517" t="str">
        <f t="shared" si="31"/>
        <v/>
      </c>
      <c r="I45" s="517" t="str">
        <f t="shared" si="31"/>
        <v/>
      </c>
      <c r="J45" s="517" t="str">
        <f t="shared" si="31"/>
        <v/>
      </c>
      <c r="K45" s="517" t="str">
        <f t="shared" si="31"/>
        <v/>
      </c>
      <c r="L45" s="517" t="str">
        <f t="shared" si="31"/>
        <v/>
      </c>
      <c r="M45" s="517" t="str">
        <f t="shared" si="31"/>
        <v/>
      </c>
      <c r="N45" s="517" t="str">
        <f t="shared" si="31"/>
        <v/>
      </c>
      <c r="O45" s="517" t="str">
        <f t="shared" si="31"/>
        <v/>
      </c>
      <c r="P45" s="517" t="str">
        <f t="shared" si="31"/>
        <v/>
      </c>
      <c r="Q45" s="517" t="str">
        <f t="shared" si="31"/>
        <v/>
      </c>
      <c r="R45" s="517" t="str">
        <f t="shared" si="31"/>
        <v/>
      </c>
      <c r="S45" s="517" t="str">
        <f t="shared" si="31"/>
        <v/>
      </c>
      <c r="T45" s="517" t="str">
        <f t="shared" si="31"/>
        <v/>
      </c>
      <c r="U45" s="517" t="str">
        <f t="shared" si="31"/>
        <v/>
      </c>
      <c r="V45" s="517" t="str">
        <f t="shared" si="31"/>
        <v/>
      </c>
      <c r="W45" s="517" t="str">
        <f t="shared" si="31"/>
        <v/>
      </c>
      <c r="X45" s="517" t="str">
        <f t="shared" si="31"/>
        <v/>
      </c>
      <c r="Y45" s="517" t="str">
        <f t="shared" si="31"/>
        <v/>
      </c>
      <c r="Z45" s="517" t="str">
        <f t="shared" si="31"/>
        <v/>
      </c>
      <c r="AA45" s="517" t="str">
        <f t="shared" si="31"/>
        <v/>
      </c>
      <c r="AB45" s="517" t="str">
        <f t="shared" si="31"/>
        <v/>
      </c>
      <c r="AC45" s="517" t="str">
        <f t="shared" si="31"/>
        <v/>
      </c>
      <c r="AD45" s="517" t="str">
        <f t="shared" si="31"/>
        <v/>
      </c>
      <c r="AE45" s="517" t="str">
        <f t="shared" si="31"/>
        <v/>
      </c>
      <c r="AF45" s="517" t="str">
        <f t="shared" si="31"/>
        <v/>
      </c>
      <c r="AG45" s="517" t="str">
        <f t="shared" si="31"/>
        <v/>
      </c>
      <c r="AH45" s="517" t="str">
        <f t="shared" si="31"/>
        <v/>
      </c>
      <c r="AI45" s="517" t="str">
        <f t="shared" si="31"/>
        <v/>
      </c>
      <c r="AJ45" s="518"/>
      <c r="AK45" s="563"/>
      <c r="AL45" s="563"/>
      <c r="AM45" s="561">
        <f>SUM(C45:AI45)</f>
        <v>0</v>
      </c>
      <c r="AZ45" s="509"/>
      <c r="BA45" s="563"/>
      <c r="BB45" s="563"/>
      <c r="BC45" s="563"/>
      <c r="BD45" s="563"/>
      <c r="BE45" s="563"/>
      <c r="BF45" s="563"/>
      <c r="BG45" s="563"/>
      <c r="BH45" s="563"/>
      <c r="BI45" s="563"/>
      <c r="BJ45" s="70"/>
      <c r="BK45" s="57"/>
      <c r="BL45" s="57"/>
      <c r="BM45" s="57"/>
      <c r="BN45" s="1258"/>
      <c r="BO45" s="1258"/>
      <c r="BP45" s="1258"/>
      <c r="BQ45" s="55"/>
      <c r="BR45" s="56"/>
      <c r="BS45" s="56"/>
      <c r="BT45" s="56"/>
      <c r="BU45" s="56"/>
      <c r="BX45" s="1130"/>
      <c r="BY45" s="1140"/>
      <c r="BZ45" s="1140"/>
      <c r="CA45" s="1140"/>
      <c r="CB45" s="1140"/>
      <c r="CC45" s="1140"/>
      <c r="CD45" s="1140"/>
      <c r="CE45" s="1140"/>
      <c r="CF45" s="1140"/>
      <c r="CG45" s="1148"/>
      <c r="CH45" s="1148"/>
      <c r="CI45" s="1148"/>
      <c r="CJ45" s="1148"/>
      <c r="CK45" s="1148"/>
      <c r="CL45" s="1140"/>
      <c r="CM45" s="1131"/>
    </row>
    <row r="46" spans="2:91" ht="27" customHeight="1" x14ac:dyDescent="0.3">
      <c r="B46" s="557" t="s">
        <v>746</v>
      </c>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12"/>
      <c r="AK46" s="563"/>
      <c r="AL46" s="563"/>
      <c r="AM46" s="559" t="str">
        <f t="shared" si="5"/>
        <v>gérard</v>
      </c>
      <c r="AN46" s="513">
        <f>COUNTIF($C46:$AI46,AN$14)</f>
        <v>0</v>
      </c>
      <c r="AO46" s="513">
        <f>COUNTIF($C46:$AI46,AO$14)</f>
        <v>0</v>
      </c>
      <c r="AP46" s="513">
        <f t="shared" ref="AP46:AZ46" si="32">COUNTIF($C46:$AI46,AP$14)</f>
        <v>0</v>
      </c>
      <c r="AQ46" s="513">
        <f t="shared" si="32"/>
        <v>0</v>
      </c>
      <c r="AR46" s="513">
        <f t="shared" si="32"/>
        <v>0</v>
      </c>
      <c r="AS46" s="542">
        <f t="shared" si="32"/>
        <v>0</v>
      </c>
      <c r="AT46" s="545">
        <f t="shared" si="32"/>
        <v>0</v>
      </c>
      <c r="AU46" s="514">
        <f t="shared" si="32"/>
        <v>0</v>
      </c>
      <c r="AV46" s="515">
        <f t="shared" si="32"/>
        <v>0</v>
      </c>
      <c r="AW46" s="579">
        <f t="shared" si="32"/>
        <v>0</v>
      </c>
      <c r="AX46" s="516">
        <f t="shared" si="32"/>
        <v>0</v>
      </c>
      <c r="AY46" s="575">
        <f t="shared" si="32"/>
        <v>0</v>
      </c>
      <c r="AZ46" s="577">
        <f t="shared" si="32"/>
        <v>0</v>
      </c>
      <c r="BA46" s="563"/>
      <c r="BB46" s="563"/>
      <c r="BC46" s="563"/>
      <c r="BD46" s="563"/>
      <c r="BE46" s="563"/>
      <c r="BF46" s="563"/>
      <c r="BG46" s="563"/>
      <c r="BH46" s="563"/>
      <c r="BI46" s="563"/>
      <c r="BJ46" s="547" t="s">
        <v>94</v>
      </c>
      <c r="BK46" s="50">
        <v>0.27083333333333331</v>
      </c>
      <c r="BL46" s="50">
        <v>0.60416666666666663</v>
      </c>
      <c r="BM46" s="51">
        <v>1</v>
      </c>
      <c r="BN46" s="589">
        <f>IF(BL46-BK46=0,0,(BL46-BK46)-(BM46*TIMEVALUE("00:30")))</f>
        <v>0.3125</v>
      </c>
      <c r="BO46" s="587" t="s">
        <v>72</v>
      </c>
      <c r="BP46" s="1258"/>
      <c r="BQ46" s="55"/>
      <c r="BR46" s="56"/>
      <c r="BS46" s="56"/>
      <c r="BT46" s="56"/>
      <c r="BU46" s="56"/>
      <c r="BX46" s="1098"/>
      <c r="BY46" s="1149" t="s">
        <v>544</v>
      </c>
      <c r="BZ46" s="1137" t="s">
        <v>545</v>
      </c>
      <c r="CA46" s="1139"/>
      <c r="CB46" s="1139"/>
      <c r="CC46" s="1139"/>
      <c r="CD46" s="1137"/>
      <c r="CE46" s="1140"/>
      <c r="CF46" s="1141" t="s">
        <v>668</v>
      </c>
      <c r="CG46" s="1142">
        <v>13</v>
      </c>
      <c r="CH46" s="1143">
        <v>0.29166666666666669</v>
      </c>
      <c r="CI46" s="1144">
        <v>0.625</v>
      </c>
      <c r="CJ46" s="1145">
        <v>1</v>
      </c>
      <c r="CK46" s="1146">
        <f>(CI46-CH46)-("00:30"*CJ46)</f>
        <v>0.3125</v>
      </c>
      <c r="CL46" s="1147"/>
      <c r="CM46" s="313"/>
    </row>
    <row r="47" spans="2:91" ht="15" customHeight="1" x14ac:dyDescent="0.3">
      <c r="B47" s="556">
        <f>SUM(C47:AI47)</f>
        <v>0</v>
      </c>
      <c r="C47" s="517" t="str">
        <f t="shared" ref="C47:AI47" si="33">IF(C46=$T$11,$T$12,IF(C46=$U$11,$U$12,IF(C46=$V$11,$V$12,IF(C46=$W$11,$W$12,IF(C46=$X$11,$X$12,"")))))</f>
        <v/>
      </c>
      <c r="D47" s="517" t="str">
        <f t="shared" si="33"/>
        <v/>
      </c>
      <c r="E47" s="517" t="str">
        <f t="shared" si="33"/>
        <v/>
      </c>
      <c r="F47" s="517" t="str">
        <f t="shared" si="33"/>
        <v/>
      </c>
      <c r="G47" s="517" t="str">
        <f t="shared" si="33"/>
        <v/>
      </c>
      <c r="H47" s="517" t="str">
        <f t="shared" si="33"/>
        <v/>
      </c>
      <c r="I47" s="517" t="str">
        <f t="shared" si="33"/>
        <v/>
      </c>
      <c r="J47" s="517" t="str">
        <f t="shared" si="33"/>
        <v/>
      </c>
      <c r="K47" s="517" t="str">
        <f t="shared" si="33"/>
        <v/>
      </c>
      <c r="L47" s="517" t="str">
        <f t="shared" si="33"/>
        <v/>
      </c>
      <c r="M47" s="517" t="str">
        <f t="shared" si="33"/>
        <v/>
      </c>
      <c r="N47" s="517" t="str">
        <f t="shared" si="33"/>
        <v/>
      </c>
      <c r="O47" s="517" t="str">
        <f t="shared" si="33"/>
        <v/>
      </c>
      <c r="P47" s="517" t="str">
        <f t="shared" si="33"/>
        <v/>
      </c>
      <c r="Q47" s="517" t="str">
        <f t="shared" si="33"/>
        <v/>
      </c>
      <c r="R47" s="517" t="str">
        <f t="shared" si="33"/>
        <v/>
      </c>
      <c r="S47" s="517" t="str">
        <f t="shared" si="33"/>
        <v/>
      </c>
      <c r="T47" s="517" t="str">
        <f t="shared" si="33"/>
        <v/>
      </c>
      <c r="U47" s="517" t="str">
        <f t="shared" si="33"/>
        <v/>
      </c>
      <c r="V47" s="517" t="str">
        <f t="shared" si="33"/>
        <v/>
      </c>
      <c r="W47" s="517" t="str">
        <f t="shared" si="33"/>
        <v/>
      </c>
      <c r="X47" s="517" t="str">
        <f t="shared" si="33"/>
        <v/>
      </c>
      <c r="Y47" s="517" t="str">
        <f t="shared" si="33"/>
        <v/>
      </c>
      <c r="Z47" s="517" t="str">
        <f t="shared" si="33"/>
        <v/>
      </c>
      <c r="AA47" s="517" t="str">
        <f t="shared" si="33"/>
        <v/>
      </c>
      <c r="AB47" s="517" t="str">
        <f t="shared" si="33"/>
        <v/>
      </c>
      <c r="AC47" s="517" t="str">
        <f t="shared" si="33"/>
        <v/>
      </c>
      <c r="AD47" s="517" t="str">
        <f t="shared" si="33"/>
        <v/>
      </c>
      <c r="AE47" s="517" t="str">
        <f t="shared" si="33"/>
        <v/>
      </c>
      <c r="AF47" s="517" t="str">
        <f t="shared" si="33"/>
        <v/>
      </c>
      <c r="AG47" s="517" t="str">
        <f t="shared" si="33"/>
        <v/>
      </c>
      <c r="AH47" s="517" t="str">
        <f t="shared" si="33"/>
        <v/>
      </c>
      <c r="AI47" s="517" t="str">
        <f t="shared" si="33"/>
        <v/>
      </c>
      <c r="AJ47" s="518"/>
      <c r="AK47" s="563"/>
      <c r="AL47" s="563"/>
      <c r="AM47" s="558">
        <f>SUM(C47:AI47)</f>
        <v>0</v>
      </c>
      <c r="AZ47" s="509"/>
      <c r="BA47" s="563"/>
      <c r="BB47" s="563"/>
      <c r="BC47" s="563"/>
      <c r="BD47" s="563"/>
      <c r="BE47" s="563"/>
      <c r="BF47" s="563"/>
      <c r="BG47" s="563"/>
      <c r="BH47" s="563"/>
      <c r="BI47" s="563"/>
      <c r="BJ47" s="70"/>
      <c r="BK47" s="57"/>
      <c r="BL47" s="57"/>
      <c r="BM47" s="57"/>
      <c r="BN47" s="1258"/>
      <c r="BO47" s="1258"/>
      <c r="BP47" s="1258"/>
      <c r="BQ47" s="55"/>
      <c r="BR47" s="56"/>
      <c r="BS47" s="56"/>
      <c r="BT47" s="56"/>
      <c r="BU47" s="56"/>
      <c r="BX47" s="1130"/>
      <c r="BY47" s="1140"/>
      <c r="BZ47" s="1140"/>
      <c r="CA47" s="1140"/>
      <c r="CB47" s="1140"/>
      <c r="CC47" s="1140"/>
      <c r="CD47" s="1140"/>
      <c r="CE47" s="1140"/>
      <c r="CF47" s="1140"/>
      <c r="CG47" s="1148"/>
      <c r="CH47" s="1148"/>
      <c r="CI47" s="1148"/>
      <c r="CJ47" s="1148"/>
      <c r="CK47" s="1148"/>
      <c r="CL47" s="1140"/>
      <c r="CM47" s="1131"/>
    </row>
    <row r="48" spans="2:91" ht="27" customHeight="1" x14ac:dyDescent="0.3">
      <c r="B48" s="557" t="s">
        <v>747</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12"/>
      <c r="AK48" s="563"/>
      <c r="AL48" s="563"/>
      <c r="AM48" s="560" t="str">
        <f t="shared" si="5"/>
        <v>françois</v>
      </c>
      <c r="AN48" s="513">
        <f>COUNTIF($C48:$AI48,AN$14)</f>
        <v>0</v>
      </c>
      <c r="AO48" s="513">
        <f>COUNTIF($C48:$AI48,AO$14)</f>
        <v>0</v>
      </c>
      <c r="AP48" s="513">
        <f t="shared" ref="AP48:AZ48" si="34">COUNTIF($C48:$AI48,AP$14)</f>
        <v>0</v>
      </c>
      <c r="AQ48" s="513">
        <f t="shared" si="34"/>
        <v>0</v>
      </c>
      <c r="AR48" s="513">
        <f t="shared" si="34"/>
        <v>0</v>
      </c>
      <c r="AS48" s="542">
        <f t="shared" si="34"/>
        <v>0</v>
      </c>
      <c r="AT48" s="545">
        <f t="shared" si="34"/>
        <v>0</v>
      </c>
      <c r="AU48" s="514">
        <f t="shared" si="34"/>
        <v>0</v>
      </c>
      <c r="AV48" s="515">
        <f t="shared" si="34"/>
        <v>0</v>
      </c>
      <c r="AW48" s="579">
        <f t="shared" si="34"/>
        <v>0</v>
      </c>
      <c r="AX48" s="516">
        <f t="shared" si="34"/>
        <v>0</v>
      </c>
      <c r="AY48" s="575">
        <f t="shared" si="34"/>
        <v>0</v>
      </c>
      <c r="AZ48" s="577">
        <f t="shared" si="34"/>
        <v>0</v>
      </c>
      <c r="BA48" s="563"/>
      <c r="BB48" s="563"/>
      <c r="BC48" s="563"/>
      <c r="BD48" s="563"/>
      <c r="BE48" s="563"/>
      <c r="BF48" s="563"/>
      <c r="BG48" s="563"/>
      <c r="BH48" s="563"/>
      <c r="BI48" s="563"/>
      <c r="BJ48" s="547" t="s">
        <v>95</v>
      </c>
      <c r="BK48" s="50">
        <v>0.27083333333333331</v>
      </c>
      <c r="BL48" s="50">
        <v>0.60416666666666663</v>
      </c>
      <c r="BM48" s="51">
        <v>1</v>
      </c>
      <c r="BN48" s="589">
        <f>IF(BL48-BK48=0,0,(BL48-BK48)-(BM48*TIMEVALUE("00:30")))</f>
        <v>0.3125</v>
      </c>
      <c r="BO48" s="587" t="s">
        <v>73</v>
      </c>
      <c r="BP48" s="1258"/>
      <c r="BQ48" s="55"/>
      <c r="BR48" s="56"/>
      <c r="BS48" s="56"/>
      <c r="BT48" s="56"/>
      <c r="BU48" s="56"/>
      <c r="BX48" s="1098"/>
      <c r="BY48" s="1136" t="s">
        <v>548</v>
      </c>
      <c r="BZ48" s="1137" t="s">
        <v>549</v>
      </c>
      <c r="CA48" s="1139"/>
      <c r="CB48" s="1139"/>
      <c r="CC48" s="1139"/>
      <c r="CD48" s="1137"/>
      <c r="CE48" s="1140"/>
      <c r="CF48" s="1141" t="s">
        <v>669</v>
      </c>
      <c r="CG48" s="1150">
        <v>13</v>
      </c>
      <c r="CH48" s="1151">
        <v>0.5625</v>
      </c>
      <c r="CI48" s="1152">
        <v>0.60416666666666663</v>
      </c>
      <c r="CJ48" s="1153">
        <v>0</v>
      </c>
      <c r="CK48" s="1154">
        <f>(CI48-CH48)-("00:30"*CJ48)</f>
        <v>4.166666666666663E-2</v>
      </c>
      <c r="CL48" s="1147"/>
      <c r="CM48" s="313"/>
    </row>
    <row r="49" spans="1:91" ht="15" customHeight="1" thickBot="1" x14ac:dyDescent="0.35">
      <c r="B49" s="556">
        <f>SUM(C49:AI49)</f>
        <v>0</v>
      </c>
      <c r="C49" s="517" t="str">
        <f t="shared" ref="C49:AI49" si="35">IF(C48=$T$11,$T$12,IF(C48=$U$11,$U$12,IF(C48=$V$11,$V$12,IF(C48=$W$11,$W$12,IF(C48=$X$11,$X$12,"")))))</f>
        <v/>
      </c>
      <c r="D49" s="517" t="str">
        <f t="shared" si="35"/>
        <v/>
      </c>
      <c r="E49" s="517" t="str">
        <f t="shared" si="35"/>
        <v/>
      </c>
      <c r="F49" s="517" t="str">
        <f t="shared" si="35"/>
        <v/>
      </c>
      <c r="G49" s="517" t="str">
        <f t="shared" si="35"/>
        <v/>
      </c>
      <c r="H49" s="517" t="str">
        <f t="shared" si="35"/>
        <v/>
      </c>
      <c r="I49" s="517" t="str">
        <f t="shared" si="35"/>
        <v/>
      </c>
      <c r="J49" s="517" t="str">
        <f t="shared" si="35"/>
        <v/>
      </c>
      <c r="K49" s="517" t="str">
        <f t="shared" si="35"/>
        <v/>
      </c>
      <c r="L49" s="517" t="str">
        <f t="shared" si="35"/>
        <v/>
      </c>
      <c r="M49" s="517" t="str">
        <f t="shared" si="35"/>
        <v/>
      </c>
      <c r="N49" s="517" t="str">
        <f t="shared" si="35"/>
        <v/>
      </c>
      <c r="O49" s="517" t="str">
        <f t="shared" si="35"/>
        <v/>
      </c>
      <c r="P49" s="517" t="str">
        <f t="shared" si="35"/>
        <v/>
      </c>
      <c r="Q49" s="517" t="str">
        <f t="shared" si="35"/>
        <v/>
      </c>
      <c r="R49" s="517" t="str">
        <f t="shared" si="35"/>
        <v/>
      </c>
      <c r="S49" s="517" t="str">
        <f t="shared" si="35"/>
        <v/>
      </c>
      <c r="T49" s="517" t="str">
        <f t="shared" si="35"/>
        <v/>
      </c>
      <c r="U49" s="517" t="str">
        <f t="shared" si="35"/>
        <v/>
      </c>
      <c r="V49" s="517" t="str">
        <f t="shared" si="35"/>
        <v/>
      </c>
      <c r="W49" s="517" t="str">
        <f t="shared" si="35"/>
        <v/>
      </c>
      <c r="X49" s="517" t="str">
        <f t="shared" si="35"/>
        <v/>
      </c>
      <c r="Y49" s="517" t="str">
        <f t="shared" si="35"/>
        <v/>
      </c>
      <c r="Z49" s="517" t="str">
        <f t="shared" si="35"/>
        <v/>
      </c>
      <c r="AA49" s="517" t="str">
        <f t="shared" si="35"/>
        <v/>
      </c>
      <c r="AB49" s="517" t="str">
        <f t="shared" si="35"/>
        <v/>
      </c>
      <c r="AC49" s="517" t="str">
        <f t="shared" si="35"/>
        <v/>
      </c>
      <c r="AD49" s="517" t="str">
        <f t="shared" si="35"/>
        <v/>
      </c>
      <c r="AE49" s="517" t="str">
        <f t="shared" si="35"/>
        <v/>
      </c>
      <c r="AF49" s="517" t="str">
        <f t="shared" si="35"/>
        <v/>
      </c>
      <c r="AG49" s="517" t="str">
        <f t="shared" si="35"/>
        <v/>
      </c>
      <c r="AH49" s="517" t="str">
        <f t="shared" si="35"/>
        <v/>
      </c>
      <c r="AI49" s="517" t="str">
        <f t="shared" si="35"/>
        <v/>
      </c>
      <c r="AJ49" s="518"/>
      <c r="AK49" s="563"/>
      <c r="AL49" s="563"/>
      <c r="AM49" s="562">
        <f>SUM(C49:AI49)</f>
        <v>0</v>
      </c>
      <c r="AN49" s="524"/>
      <c r="AO49" s="524"/>
      <c r="AP49" s="524"/>
      <c r="AQ49" s="524"/>
      <c r="AR49" s="524"/>
      <c r="AS49" s="524"/>
      <c r="AT49" s="524"/>
      <c r="AU49" s="524"/>
      <c r="AV49" s="524"/>
      <c r="AW49" s="524"/>
      <c r="AX49" s="524"/>
      <c r="AY49" s="524"/>
      <c r="AZ49" s="525"/>
      <c r="BA49" s="563"/>
      <c r="BB49" s="563"/>
      <c r="BC49" s="563"/>
      <c r="BD49" s="563"/>
      <c r="BE49" s="563"/>
      <c r="BF49" s="563"/>
      <c r="BG49" s="563"/>
      <c r="BH49" s="563"/>
      <c r="BI49" s="563"/>
      <c r="BJ49" s="70"/>
      <c r="BK49" s="57"/>
      <c r="BL49" s="57"/>
      <c r="BM49" s="57"/>
      <c r="BN49" s="1258"/>
      <c r="BO49" s="1258"/>
      <c r="BP49" s="1258"/>
      <c r="BQ49" s="55"/>
      <c r="BR49" s="56"/>
      <c r="BS49" s="56"/>
      <c r="BT49" s="56"/>
      <c r="BU49" s="56"/>
      <c r="BX49" s="1130"/>
      <c r="BY49" s="1140"/>
      <c r="BZ49" s="1140"/>
      <c r="CA49" s="1140"/>
      <c r="CB49" s="1140"/>
      <c r="CC49" s="1140"/>
      <c r="CD49" s="1140"/>
      <c r="CE49" s="1140"/>
      <c r="CF49" s="1140"/>
      <c r="CG49" s="1148"/>
      <c r="CH49" s="1148"/>
      <c r="CI49" s="1148"/>
      <c r="CJ49" s="1148"/>
      <c r="CK49" s="1148"/>
      <c r="CL49" s="1140"/>
      <c r="CM49" s="1131"/>
    </row>
    <row r="50" spans="1:91" ht="15" customHeight="1" x14ac:dyDescent="0.3">
      <c r="B50" s="526"/>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7"/>
      <c r="AK50" s="563"/>
      <c r="AL50" s="563"/>
      <c r="AM50" s="563"/>
      <c r="AN50" s="563"/>
      <c r="AO50" s="563"/>
      <c r="AP50" s="563"/>
      <c r="AQ50" s="563"/>
      <c r="AR50" s="563"/>
      <c r="AS50" s="563"/>
      <c r="AT50" s="563"/>
      <c r="AU50" s="563"/>
      <c r="AV50" s="563"/>
      <c r="AW50" s="563"/>
      <c r="AX50" s="563"/>
      <c r="AY50" s="563"/>
      <c r="AZ50" s="563"/>
      <c r="BA50" s="563"/>
      <c r="BB50" s="563"/>
      <c r="BC50" s="563"/>
      <c r="BD50" s="563"/>
      <c r="BE50" s="563"/>
      <c r="BF50" s="563"/>
      <c r="BG50" s="563"/>
      <c r="BH50" s="563"/>
      <c r="BI50" s="563"/>
      <c r="BJ50" s="547" t="s">
        <v>96</v>
      </c>
      <c r="BK50" s="50">
        <v>0.27083333333333331</v>
      </c>
      <c r="BL50" s="50">
        <v>0.60416666666666663</v>
      </c>
      <c r="BM50" s="51">
        <v>1</v>
      </c>
      <c r="BN50" s="589">
        <f>IF(BL50-BK50=0,0,(BL50-BK50)-(BM50*TIMEVALUE("00:30")))</f>
        <v>0.3125</v>
      </c>
      <c r="BO50" s="587" t="s">
        <v>130</v>
      </c>
      <c r="BP50" s="1258"/>
      <c r="BQ50" s="55"/>
      <c r="BR50" s="56"/>
      <c r="BS50" s="56"/>
      <c r="BT50" s="56"/>
      <c r="BU50" s="56"/>
      <c r="BX50" s="1130"/>
      <c r="BY50" s="1140"/>
      <c r="BZ50" s="1140"/>
      <c r="CA50" s="1140"/>
      <c r="CB50" s="1140"/>
      <c r="CC50" s="1140"/>
      <c r="CD50" s="1140"/>
      <c r="CE50" s="1140"/>
      <c r="CF50" s="1140"/>
      <c r="CG50" s="1148"/>
      <c r="CH50" s="1148"/>
      <c r="CI50" s="1148"/>
      <c r="CJ50" s="1148"/>
      <c r="CK50" s="1148"/>
      <c r="CL50" s="1140"/>
      <c r="CM50" s="1131"/>
    </row>
    <row r="51" spans="1:91" ht="21.75" customHeight="1" x14ac:dyDescent="0.35">
      <c r="B51" s="528"/>
      <c r="C51" s="529">
        <f t="shared" ref="C51:AG51" si="36">C14</f>
        <v>6</v>
      </c>
      <c r="D51" s="529">
        <f t="shared" si="36"/>
        <v>7</v>
      </c>
      <c r="E51" s="529">
        <f t="shared" si="36"/>
        <v>1</v>
      </c>
      <c r="F51" s="529">
        <f t="shared" si="36"/>
        <v>2</v>
      </c>
      <c r="G51" s="529">
        <f t="shared" si="36"/>
        <v>3</v>
      </c>
      <c r="H51" s="529">
        <f t="shared" si="36"/>
        <v>4</v>
      </c>
      <c r="I51" s="529">
        <f t="shared" si="36"/>
        <v>5</v>
      </c>
      <c r="J51" s="529">
        <f t="shared" si="36"/>
        <v>6</v>
      </c>
      <c r="K51" s="529">
        <f t="shared" si="36"/>
        <v>7</v>
      </c>
      <c r="L51" s="529">
        <f t="shared" si="36"/>
        <v>1</v>
      </c>
      <c r="M51" s="529">
        <f t="shared" si="36"/>
        <v>2</v>
      </c>
      <c r="N51" s="529">
        <f t="shared" si="36"/>
        <v>3</v>
      </c>
      <c r="O51" s="529">
        <f t="shared" si="36"/>
        <v>4</v>
      </c>
      <c r="P51" s="529">
        <f t="shared" si="36"/>
        <v>5</v>
      </c>
      <c r="Q51" s="529">
        <f t="shared" si="36"/>
        <v>6</v>
      </c>
      <c r="R51" s="529">
        <f t="shared" si="36"/>
        <v>7</v>
      </c>
      <c r="S51" s="529">
        <f t="shared" si="36"/>
        <v>1</v>
      </c>
      <c r="T51" s="529">
        <f t="shared" si="36"/>
        <v>2</v>
      </c>
      <c r="U51" s="529">
        <f t="shared" si="36"/>
        <v>3</v>
      </c>
      <c r="V51" s="529">
        <f t="shared" si="36"/>
        <v>4</v>
      </c>
      <c r="W51" s="529">
        <f t="shared" si="36"/>
        <v>5</v>
      </c>
      <c r="X51" s="529">
        <f t="shared" si="36"/>
        <v>6</v>
      </c>
      <c r="Y51" s="529">
        <f t="shared" si="36"/>
        <v>7</v>
      </c>
      <c r="Z51" s="529">
        <f t="shared" si="36"/>
        <v>1</v>
      </c>
      <c r="AA51" s="529">
        <f t="shared" si="36"/>
        <v>2</v>
      </c>
      <c r="AB51" s="529">
        <f t="shared" si="36"/>
        <v>3</v>
      </c>
      <c r="AC51" s="529">
        <f t="shared" si="36"/>
        <v>4</v>
      </c>
      <c r="AD51" s="529">
        <f t="shared" si="36"/>
        <v>5</v>
      </c>
      <c r="AE51" s="529">
        <f t="shared" si="36"/>
        <v>6</v>
      </c>
      <c r="AF51" s="529">
        <f t="shared" si="36"/>
        <v>7</v>
      </c>
      <c r="AG51" s="529">
        <f t="shared" si="36"/>
        <v>1</v>
      </c>
      <c r="AH51" s="529">
        <f t="shared" ref="AH51:AI51" si="37">AH52</f>
        <v>32</v>
      </c>
      <c r="AI51" s="530">
        <f t="shared" si="37"/>
        <v>33</v>
      </c>
      <c r="AJ51" s="531"/>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3"/>
      <c r="BH51" s="563"/>
      <c r="BI51" s="563"/>
      <c r="BJ51" s="70"/>
      <c r="BK51" s="57"/>
      <c r="BL51" s="57"/>
      <c r="BM51" s="57"/>
      <c r="BN51" s="1258"/>
      <c r="BO51" s="1258"/>
      <c r="BP51" s="1258"/>
      <c r="BQ51" s="55"/>
      <c r="BR51" s="56"/>
      <c r="BS51" s="56"/>
      <c r="BT51" s="56"/>
      <c r="BU51" s="56"/>
      <c r="BX51" s="1098"/>
      <c r="BY51" s="1155" t="s">
        <v>670</v>
      </c>
      <c r="BZ51" s="1137" t="s">
        <v>550</v>
      </c>
      <c r="CA51" s="1137"/>
      <c r="CB51" s="1137"/>
      <c r="CC51" s="1137"/>
      <c r="CD51" s="1137"/>
      <c r="CE51" s="1140"/>
      <c r="CF51" s="1141" t="s">
        <v>671</v>
      </c>
      <c r="CG51" s="1142">
        <v>14</v>
      </c>
      <c r="CH51" s="1143">
        <v>0.25</v>
      </c>
      <c r="CI51" s="1144">
        <v>0.5625</v>
      </c>
      <c r="CJ51" s="1145">
        <v>1</v>
      </c>
      <c r="CK51" s="1146">
        <f>(CI51-CH51)-("00:30"*CJ51)</f>
        <v>0.29166666666666669</v>
      </c>
      <c r="CL51" s="1137"/>
      <c r="CM51" s="313"/>
    </row>
    <row r="52" spans="1:91" ht="27" customHeight="1" x14ac:dyDescent="0.35">
      <c r="B52" s="532"/>
      <c r="C52" s="540">
        <f t="shared" ref="C52:AG52" si="38">C13</f>
        <v>1</v>
      </c>
      <c r="D52" s="540">
        <f t="shared" si="38"/>
        <v>2</v>
      </c>
      <c r="E52" s="540">
        <f t="shared" si="38"/>
        <v>3</v>
      </c>
      <c r="F52" s="1287">
        <f t="shared" si="38"/>
        <v>4</v>
      </c>
      <c r="G52" s="1287">
        <f t="shared" si="38"/>
        <v>5</v>
      </c>
      <c r="H52" s="540">
        <f t="shared" si="38"/>
        <v>6</v>
      </c>
      <c r="I52" s="540">
        <f t="shared" si="38"/>
        <v>7</v>
      </c>
      <c r="J52" s="540">
        <f t="shared" si="38"/>
        <v>8</v>
      </c>
      <c r="K52" s="540">
        <f t="shared" si="38"/>
        <v>9</v>
      </c>
      <c r="L52" s="540">
        <f t="shared" si="38"/>
        <v>10</v>
      </c>
      <c r="M52" s="540">
        <f t="shared" si="38"/>
        <v>11</v>
      </c>
      <c r="N52" s="540">
        <f t="shared" si="38"/>
        <v>12</v>
      </c>
      <c r="O52" s="540">
        <f t="shared" si="38"/>
        <v>13</v>
      </c>
      <c r="P52" s="540">
        <f t="shared" si="38"/>
        <v>14</v>
      </c>
      <c r="Q52" s="540">
        <f t="shared" si="38"/>
        <v>15</v>
      </c>
      <c r="R52" s="540">
        <f t="shared" si="38"/>
        <v>16</v>
      </c>
      <c r="S52" s="540">
        <f t="shared" si="38"/>
        <v>17</v>
      </c>
      <c r="T52" s="540">
        <f t="shared" si="38"/>
        <v>18</v>
      </c>
      <c r="U52" s="540">
        <f t="shared" si="38"/>
        <v>19</v>
      </c>
      <c r="V52" s="540">
        <f t="shared" si="38"/>
        <v>20</v>
      </c>
      <c r="W52" s="540">
        <f t="shared" si="38"/>
        <v>21</v>
      </c>
      <c r="X52" s="540">
        <f t="shared" si="38"/>
        <v>22</v>
      </c>
      <c r="Y52" s="540">
        <f t="shared" si="38"/>
        <v>23</v>
      </c>
      <c r="Z52" s="540">
        <f t="shared" si="38"/>
        <v>24</v>
      </c>
      <c r="AA52" s="540">
        <f t="shared" si="38"/>
        <v>25</v>
      </c>
      <c r="AB52" s="540">
        <f t="shared" si="38"/>
        <v>26</v>
      </c>
      <c r="AC52" s="540">
        <f t="shared" si="38"/>
        <v>27</v>
      </c>
      <c r="AD52" s="540">
        <f t="shared" si="38"/>
        <v>28</v>
      </c>
      <c r="AE52" s="540">
        <f t="shared" si="38"/>
        <v>29</v>
      </c>
      <c r="AF52" s="540">
        <f t="shared" si="38"/>
        <v>30</v>
      </c>
      <c r="AG52" s="540">
        <f t="shared" si="38"/>
        <v>31</v>
      </c>
      <c r="AH52" s="540">
        <f t="shared" ref="AH52:AI52" si="39">AH13</f>
        <v>32</v>
      </c>
      <c r="AI52" s="541">
        <f t="shared" si="39"/>
        <v>33</v>
      </c>
      <c r="AJ52" s="53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47" t="s">
        <v>97</v>
      </c>
      <c r="BK52" s="50">
        <v>0.27083333333333331</v>
      </c>
      <c r="BL52" s="50">
        <v>0.60416666666666663</v>
      </c>
      <c r="BM52" s="51">
        <v>1</v>
      </c>
      <c r="BN52" s="589">
        <f>IF(BL52-BK52=0,0,(BL52-BK52)-(BM52*TIMEVALUE("00:30")))</f>
        <v>0.3125</v>
      </c>
      <c r="BO52" s="587" t="s">
        <v>74</v>
      </c>
      <c r="BP52" s="1258"/>
      <c r="BQ52" s="55"/>
      <c r="BR52" s="56"/>
      <c r="BS52" s="56"/>
      <c r="BT52" s="56"/>
      <c r="BU52" s="56"/>
      <c r="BX52" s="1098"/>
      <c r="BY52" s="1156" t="s">
        <v>515</v>
      </c>
      <c r="BZ52" s="1137" t="s">
        <v>516</v>
      </c>
      <c r="CA52" s="1137"/>
      <c r="CB52" s="1137"/>
      <c r="CC52" s="1137"/>
      <c r="CD52" s="1137"/>
      <c r="CE52" s="1140"/>
      <c r="CF52" s="1141" t="s">
        <v>672</v>
      </c>
      <c r="CG52" s="1150">
        <v>14</v>
      </c>
      <c r="CH52" s="1151">
        <v>0</v>
      </c>
      <c r="CI52" s="1152">
        <v>0</v>
      </c>
      <c r="CJ52" s="1153">
        <v>0</v>
      </c>
      <c r="CK52" s="1154">
        <f>(CI52-CH52)-("00:30"*CJ52)</f>
        <v>0</v>
      </c>
      <c r="CL52" s="1137"/>
      <c r="CM52" s="313"/>
    </row>
    <row r="53" spans="1:91" ht="9.75" customHeight="1" x14ac:dyDescent="0.3">
      <c r="B53" s="534"/>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6"/>
      <c r="AK53" s="563"/>
      <c r="AL53" s="563"/>
      <c r="AM53" s="563"/>
      <c r="AN53" s="563"/>
      <c r="AO53" s="563"/>
      <c r="AP53" s="563"/>
      <c r="AQ53" s="563"/>
      <c r="AR53" s="563"/>
      <c r="AS53" s="563"/>
      <c r="AT53" s="563"/>
      <c r="AU53" s="563"/>
      <c r="AV53" s="563"/>
      <c r="AW53" s="563"/>
      <c r="AX53" s="563"/>
      <c r="AY53" s="563"/>
      <c r="AZ53" s="563"/>
      <c r="BA53" s="563"/>
      <c r="BB53" s="563"/>
      <c r="BC53" s="563"/>
      <c r="BD53" s="563"/>
      <c r="BE53" s="563"/>
      <c r="BF53" s="563"/>
      <c r="BG53" s="563"/>
      <c r="BH53" s="563"/>
      <c r="BI53" s="563"/>
      <c r="BJ53" s="56"/>
      <c r="BK53" s="56"/>
      <c r="BL53" s="56"/>
      <c r="BM53" s="56"/>
      <c r="BN53" s="56"/>
      <c r="BO53" s="56"/>
      <c r="BP53" s="56"/>
      <c r="BQ53" s="56"/>
      <c r="BR53" s="56"/>
      <c r="BS53" s="56"/>
      <c r="BT53" s="56"/>
      <c r="BU53" s="56"/>
      <c r="BX53" s="1130"/>
      <c r="BY53" s="1140"/>
      <c r="BZ53" s="1140"/>
      <c r="CA53" s="1140"/>
      <c r="CB53" s="1140"/>
      <c r="CC53" s="1140"/>
      <c r="CD53" s="1140"/>
      <c r="CE53" s="1140"/>
      <c r="CF53" s="1140"/>
      <c r="CG53" s="1148"/>
      <c r="CH53" s="1148"/>
      <c r="CI53" s="1148"/>
      <c r="CJ53" s="1148"/>
      <c r="CK53" s="1148"/>
      <c r="CL53" s="1140"/>
      <c r="CM53" s="1131"/>
    </row>
    <row r="54" spans="1:91" ht="24.95" customHeight="1" x14ac:dyDescent="0.3">
      <c r="B54" s="537" t="s">
        <v>740</v>
      </c>
      <c r="C54" s="1521"/>
      <c r="D54" s="1521"/>
      <c r="E54" s="1521"/>
      <c r="F54" s="1521"/>
      <c r="G54" s="1521"/>
      <c r="H54" s="1521"/>
      <c r="I54" s="1521"/>
      <c r="J54" s="1521"/>
      <c r="K54" s="1521"/>
      <c r="L54" s="1521"/>
      <c r="M54" s="1521"/>
      <c r="N54" s="1521"/>
      <c r="O54" s="1521"/>
      <c r="P54" s="1521"/>
      <c r="Q54" s="1521"/>
      <c r="R54" s="1521"/>
      <c r="S54" s="1521"/>
      <c r="T54" s="1521"/>
      <c r="U54" s="1521"/>
      <c r="V54" s="1521"/>
      <c r="W54" s="1521"/>
      <c r="X54" s="1521"/>
      <c r="Y54" s="1521"/>
      <c r="Z54" s="1521"/>
      <c r="AA54" s="1521"/>
      <c r="AB54" s="1521"/>
      <c r="AC54" s="1521"/>
      <c r="AD54" s="1521"/>
      <c r="AE54" s="1521"/>
      <c r="AF54" s="1521"/>
      <c r="AG54" s="1521"/>
      <c r="AH54" s="1521"/>
      <c r="AI54" s="1521"/>
      <c r="AJ54" s="1522"/>
      <c r="AK54" s="563"/>
      <c r="AL54" s="563"/>
      <c r="AM54" s="563"/>
      <c r="AN54" s="563"/>
      <c r="AO54" s="563"/>
      <c r="AP54" s="563"/>
      <c r="AQ54" s="563"/>
      <c r="AR54" s="563"/>
      <c r="AS54" s="563"/>
      <c r="AT54" s="563"/>
      <c r="AU54" s="563"/>
      <c r="AV54" s="563"/>
      <c r="AW54" s="563"/>
      <c r="AX54" s="563"/>
      <c r="AY54" s="563"/>
      <c r="AZ54" s="563"/>
      <c r="BA54" s="563"/>
      <c r="BB54" s="563"/>
      <c r="BC54" s="563"/>
      <c r="BD54" s="563"/>
      <c r="BE54" s="563"/>
      <c r="BF54" s="563"/>
      <c r="BG54" s="563"/>
      <c r="BH54" s="563"/>
      <c r="BI54" s="563"/>
      <c r="BJ54" s="1520" t="s">
        <v>131</v>
      </c>
      <c r="BK54" s="1520"/>
      <c r="BL54" s="1520"/>
      <c r="BM54" s="1520"/>
      <c r="BN54" s="1520"/>
      <c r="BO54" s="1520"/>
      <c r="BP54" s="1520"/>
      <c r="BQ54" s="1520"/>
      <c r="BR54" s="1520"/>
      <c r="BS54" s="1520"/>
      <c r="BT54" s="1520"/>
      <c r="BU54" s="1520"/>
      <c r="BX54" s="1098"/>
      <c r="BY54" s="1156" t="s">
        <v>518</v>
      </c>
      <c r="BZ54" s="1137" t="s">
        <v>519</v>
      </c>
      <c r="CA54" s="1137"/>
      <c r="CB54" s="1137"/>
      <c r="CC54" s="1137"/>
      <c r="CD54" s="1137"/>
      <c r="CE54" s="1140"/>
      <c r="CF54" s="1141" t="s">
        <v>673</v>
      </c>
      <c r="CG54" s="1142">
        <v>16</v>
      </c>
      <c r="CH54" s="1143">
        <v>0.3125</v>
      </c>
      <c r="CI54" s="1144">
        <v>0.5</v>
      </c>
      <c r="CJ54" s="1145">
        <v>1</v>
      </c>
      <c r="CK54" s="1146">
        <f t="shared" ref="CK54:CK62" si="40">(CI54-CH54)-("00:30"*CJ54)</f>
        <v>0.16666666666666666</v>
      </c>
      <c r="CL54" s="1137"/>
      <c r="CM54" s="313"/>
    </row>
    <row r="55" spans="1:91" ht="24.95" customHeight="1" x14ac:dyDescent="0.3">
      <c r="B55" s="537"/>
      <c r="C55" s="1523"/>
      <c r="D55" s="1523"/>
      <c r="E55" s="1523"/>
      <c r="F55" s="1523"/>
      <c r="G55" s="1523"/>
      <c r="H55" s="1523"/>
      <c r="I55" s="1523"/>
      <c r="J55" s="1523"/>
      <c r="K55" s="1523"/>
      <c r="L55" s="1523"/>
      <c r="M55" s="1523"/>
      <c r="N55" s="1523"/>
      <c r="O55" s="1523"/>
      <c r="P55" s="1523"/>
      <c r="Q55" s="1523"/>
      <c r="R55" s="1523"/>
      <c r="S55" s="1523"/>
      <c r="T55" s="1523"/>
      <c r="U55" s="1523"/>
      <c r="V55" s="1523"/>
      <c r="W55" s="1523"/>
      <c r="X55" s="1523"/>
      <c r="Y55" s="1523"/>
      <c r="Z55" s="1523"/>
      <c r="AA55" s="1523"/>
      <c r="AB55" s="1523"/>
      <c r="AC55" s="1523"/>
      <c r="AD55" s="1523"/>
      <c r="AE55" s="1523"/>
      <c r="AF55" s="1523"/>
      <c r="AG55" s="1523"/>
      <c r="AH55" s="1523"/>
      <c r="AI55" s="1523"/>
      <c r="AJ55" s="1524"/>
      <c r="AK55" s="563"/>
      <c r="AL55" s="563"/>
      <c r="AM55" s="563"/>
      <c r="AN55" s="563"/>
      <c r="AO55" s="563"/>
      <c r="AP55" s="563"/>
      <c r="AQ55" s="563"/>
      <c r="AR55" s="563"/>
      <c r="AS55" s="563"/>
      <c r="AT55" s="563"/>
      <c r="AU55" s="563"/>
      <c r="AV55" s="563"/>
      <c r="AW55" s="563"/>
      <c r="AX55" s="563"/>
      <c r="AY55" s="563"/>
      <c r="AZ55" s="563"/>
      <c r="BA55" s="563"/>
      <c r="BB55" s="563"/>
      <c r="BC55" s="563"/>
      <c r="BD55" s="563"/>
      <c r="BE55" s="563"/>
      <c r="BF55" s="563"/>
      <c r="BG55" s="563"/>
      <c r="BH55" s="563"/>
      <c r="BI55" s="563"/>
      <c r="BJ55" s="1520"/>
      <c r="BK55" s="1520"/>
      <c r="BL55" s="1520"/>
      <c r="BM55" s="1520"/>
      <c r="BN55" s="1520"/>
      <c r="BO55" s="1520"/>
      <c r="BP55" s="1520"/>
      <c r="BQ55" s="1520"/>
      <c r="BR55" s="1520"/>
      <c r="BS55" s="1520"/>
      <c r="BT55" s="1520"/>
      <c r="BU55" s="1520"/>
      <c r="BX55" s="1098"/>
      <c r="BY55" s="1157" t="s">
        <v>520</v>
      </c>
      <c r="BZ55" s="1137" t="s">
        <v>521</v>
      </c>
      <c r="CA55" s="1137"/>
      <c r="CB55" s="1137"/>
      <c r="CC55" s="1137"/>
      <c r="CD55" s="1137"/>
      <c r="CE55" s="1140"/>
      <c r="CF55" s="1141" t="s">
        <v>674</v>
      </c>
      <c r="CG55" s="1142">
        <v>17</v>
      </c>
      <c r="CH55" s="1143">
        <v>0.52083333333333337</v>
      </c>
      <c r="CI55" s="1144">
        <v>0.66666666666666663</v>
      </c>
      <c r="CJ55" s="1145">
        <v>1</v>
      </c>
      <c r="CK55" s="1146">
        <f t="shared" si="40"/>
        <v>0.12499999999999993</v>
      </c>
      <c r="CL55" s="1137"/>
      <c r="CM55" s="313"/>
    </row>
    <row r="56" spans="1:91" ht="24.95" customHeight="1" x14ac:dyDescent="0.3">
      <c r="B56" s="537"/>
      <c r="C56" s="1523"/>
      <c r="D56" s="1523"/>
      <c r="E56" s="1523"/>
      <c r="F56" s="1523"/>
      <c r="G56" s="1523"/>
      <c r="H56" s="1523"/>
      <c r="I56" s="1523"/>
      <c r="J56" s="1523"/>
      <c r="K56" s="1523"/>
      <c r="L56" s="1523"/>
      <c r="M56" s="1523"/>
      <c r="N56" s="1523"/>
      <c r="O56" s="1523"/>
      <c r="P56" s="1523"/>
      <c r="Q56" s="1523"/>
      <c r="R56" s="1523"/>
      <c r="S56" s="1523"/>
      <c r="T56" s="1523"/>
      <c r="U56" s="1523"/>
      <c r="V56" s="1523"/>
      <c r="W56" s="1523"/>
      <c r="X56" s="1523"/>
      <c r="Y56" s="1523"/>
      <c r="Z56" s="1523"/>
      <c r="AA56" s="1523"/>
      <c r="AB56" s="1523"/>
      <c r="AC56" s="1523"/>
      <c r="AD56" s="1523"/>
      <c r="AE56" s="1523"/>
      <c r="AF56" s="1523"/>
      <c r="AG56" s="1523"/>
      <c r="AH56" s="1523"/>
      <c r="AI56" s="1523"/>
      <c r="AJ56" s="1524"/>
      <c r="AK56" s="563"/>
      <c r="AL56" s="563"/>
      <c r="AM56" s="563"/>
      <c r="AN56" s="563"/>
      <c r="AO56" s="563"/>
      <c r="AP56" s="563"/>
      <c r="AQ56" s="563"/>
      <c r="AR56" s="563"/>
      <c r="AS56" s="563"/>
      <c r="AT56" s="563"/>
      <c r="AU56" s="563"/>
      <c r="AV56" s="563"/>
      <c r="AW56" s="563"/>
      <c r="AX56" s="563"/>
      <c r="AY56" s="563"/>
      <c r="AZ56" s="563"/>
      <c r="BA56" s="563"/>
      <c r="BB56" s="563"/>
      <c r="BC56" s="563"/>
      <c r="BD56" s="563"/>
      <c r="BE56" s="563"/>
      <c r="BF56" s="563"/>
      <c r="BG56" s="563"/>
      <c r="BH56" s="563"/>
      <c r="BI56" s="563"/>
      <c r="BJ56" s="1520"/>
      <c r="BK56" s="1520"/>
      <c r="BL56" s="1520"/>
      <c r="BM56" s="1520"/>
      <c r="BN56" s="1520"/>
      <c r="BO56" s="1520"/>
      <c r="BP56" s="1520"/>
      <c r="BQ56" s="1520"/>
      <c r="BR56" s="1520"/>
      <c r="BS56" s="1520"/>
      <c r="BT56" s="1520"/>
      <c r="BU56" s="1520"/>
      <c r="BX56" s="1098"/>
      <c r="BY56" s="1157" t="s">
        <v>523</v>
      </c>
      <c r="BZ56" s="1137" t="s">
        <v>524</v>
      </c>
      <c r="CA56" s="1137"/>
      <c r="CB56" s="1137"/>
      <c r="CC56" s="1137"/>
      <c r="CD56" s="1137"/>
      <c r="CE56" s="1140"/>
      <c r="CF56" s="1158" t="s">
        <v>675</v>
      </c>
      <c r="CG56" s="1142">
        <v>18</v>
      </c>
      <c r="CH56" s="1143">
        <v>0</v>
      </c>
      <c r="CI56" s="1144">
        <v>0</v>
      </c>
      <c r="CJ56" s="1145">
        <v>0</v>
      </c>
      <c r="CK56" s="1146">
        <f t="shared" si="40"/>
        <v>0</v>
      </c>
      <c r="CL56" s="1137"/>
      <c r="CM56" s="313"/>
    </row>
    <row r="57" spans="1:91" ht="24.95" customHeight="1" x14ac:dyDescent="0.3">
      <c r="B57" s="537"/>
      <c r="C57" s="1523"/>
      <c r="D57" s="1523"/>
      <c r="E57" s="1523"/>
      <c r="F57" s="1523"/>
      <c r="G57" s="1523"/>
      <c r="H57" s="1523"/>
      <c r="I57" s="1523"/>
      <c r="J57" s="1523"/>
      <c r="K57" s="1523"/>
      <c r="L57" s="1523"/>
      <c r="M57" s="1523"/>
      <c r="N57" s="1523"/>
      <c r="O57" s="1523"/>
      <c r="P57" s="1523"/>
      <c r="Q57" s="1523"/>
      <c r="R57" s="1523"/>
      <c r="S57" s="1523"/>
      <c r="T57" s="1523"/>
      <c r="U57" s="1523"/>
      <c r="V57" s="1523"/>
      <c r="W57" s="1523"/>
      <c r="X57" s="1523"/>
      <c r="Y57" s="1523"/>
      <c r="Z57" s="1523"/>
      <c r="AA57" s="1523"/>
      <c r="AB57" s="1523"/>
      <c r="AC57" s="1523"/>
      <c r="AD57" s="1523"/>
      <c r="AE57" s="1523"/>
      <c r="AF57" s="1523"/>
      <c r="AG57" s="1523"/>
      <c r="AH57" s="1523"/>
      <c r="AI57" s="1523"/>
      <c r="AJ57" s="1524"/>
      <c r="AK57" s="563"/>
      <c r="AL57" s="563"/>
      <c r="AM57" s="563"/>
      <c r="AN57" s="563"/>
      <c r="AO57" s="563"/>
      <c r="AP57" s="563"/>
      <c r="AQ57" s="563"/>
      <c r="AR57" s="563"/>
      <c r="AS57" s="563"/>
      <c r="AT57" s="563"/>
      <c r="AU57" s="563"/>
      <c r="AV57" s="563"/>
      <c r="AW57" s="563"/>
      <c r="AX57" s="563"/>
      <c r="AY57" s="563"/>
      <c r="AZ57" s="563"/>
      <c r="BA57" s="563"/>
      <c r="BB57" s="563"/>
      <c r="BC57" s="563"/>
      <c r="BD57" s="563"/>
      <c r="BE57" s="563"/>
      <c r="BF57" s="563"/>
      <c r="BG57" s="563"/>
      <c r="BH57" s="563"/>
      <c r="BI57" s="563"/>
      <c r="BJ57" s="547" t="s">
        <v>98</v>
      </c>
      <c r="BK57" s="50">
        <v>0.25</v>
      </c>
      <c r="BL57" s="50">
        <v>0.60416666666666663</v>
      </c>
      <c r="BM57" s="51">
        <v>1</v>
      </c>
      <c r="BN57" s="589">
        <f>IF(BL57-BK57=0,0,(BL57-BK57)-(BM57*TIMEVALUE("00:30")))</f>
        <v>0.33333333333333331</v>
      </c>
      <c r="BO57" s="587" t="s">
        <v>75</v>
      </c>
      <c r="BP57" s="1258"/>
      <c r="BQ57" s="55"/>
      <c r="BR57" s="56"/>
      <c r="BS57" s="56"/>
      <c r="BT57" s="56"/>
      <c r="BU57" s="56"/>
      <c r="BX57" s="1098"/>
      <c r="BY57" s="1157" t="s">
        <v>525</v>
      </c>
      <c r="BZ57" s="1137" t="s">
        <v>526</v>
      </c>
      <c r="CA57" s="1137"/>
      <c r="CB57" s="1137"/>
      <c r="CC57" s="1137"/>
      <c r="CD57" s="1137"/>
      <c r="CE57" s="1140"/>
      <c r="CF57" s="1141"/>
      <c r="CG57" s="1142">
        <v>19</v>
      </c>
      <c r="CH57" s="1143">
        <v>0</v>
      </c>
      <c r="CI57" s="1144">
        <v>0</v>
      </c>
      <c r="CJ57" s="1145">
        <v>0</v>
      </c>
      <c r="CK57" s="1146">
        <f t="shared" si="40"/>
        <v>0</v>
      </c>
      <c r="CL57" s="1137"/>
      <c r="CM57" s="313"/>
    </row>
    <row r="58" spans="1:91" ht="24.95" customHeight="1" x14ac:dyDescent="0.3">
      <c r="B58" s="534"/>
      <c r="C58" s="1525"/>
      <c r="D58" s="1525"/>
      <c r="E58" s="1525"/>
      <c r="F58" s="1525"/>
      <c r="G58" s="1525"/>
      <c r="H58" s="1525"/>
      <c r="I58" s="1525"/>
      <c r="J58" s="1525"/>
      <c r="K58" s="1525"/>
      <c r="L58" s="1525"/>
      <c r="M58" s="1525"/>
      <c r="N58" s="1525"/>
      <c r="O58" s="1525"/>
      <c r="P58" s="1525"/>
      <c r="Q58" s="1525"/>
      <c r="R58" s="1525"/>
      <c r="S58" s="1525"/>
      <c r="T58" s="1525"/>
      <c r="U58" s="1525"/>
      <c r="V58" s="1525"/>
      <c r="W58" s="1525"/>
      <c r="X58" s="1525"/>
      <c r="Y58" s="1525"/>
      <c r="Z58" s="1525"/>
      <c r="AA58" s="1525"/>
      <c r="AB58" s="1525"/>
      <c r="AC58" s="1525"/>
      <c r="AD58" s="1525"/>
      <c r="AE58" s="1525"/>
      <c r="AF58" s="1525"/>
      <c r="AG58" s="1525"/>
      <c r="AH58" s="1525"/>
      <c r="AI58" s="1525"/>
      <c r="AJ58" s="1526"/>
      <c r="AK58" s="563"/>
      <c r="AL58" s="563"/>
      <c r="AM58" s="563"/>
      <c r="AN58" s="563"/>
      <c r="AO58" s="563"/>
      <c r="AP58" s="563"/>
      <c r="AQ58" s="563"/>
      <c r="AR58" s="563"/>
      <c r="AS58" s="563"/>
      <c r="AT58" s="563"/>
      <c r="AU58" s="563"/>
      <c r="AV58" s="563"/>
      <c r="AW58" s="563"/>
      <c r="AX58" s="563"/>
      <c r="AY58" s="563"/>
      <c r="AZ58" s="563"/>
      <c r="BA58" s="563"/>
      <c r="BB58" s="563"/>
      <c r="BC58" s="563"/>
      <c r="BD58" s="563"/>
      <c r="BE58" s="563"/>
      <c r="BF58" s="563"/>
      <c r="BG58" s="563"/>
      <c r="BH58" s="563"/>
      <c r="BI58" s="563"/>
      <c r="BJ58" s="70"/>
      <c r="BK58" s="57"/>
      <c r="BL58" s="57"/>
      <c r="BM58" s="57"/>
      <c r="BN58" s="1258"/>
      <c r="BO58" s="1258"/>
      <c r="BP58" s="1258"/>
      <c r="BQ58" s="55"/>
      <c r="BR58" s="56"/>
      <c r="BS58" s="56"/>
      <c r="BT58" s="56"/>
      <c r="BU58" s="56"/>
      <c r="BX58" s="1098"/>
      <c r="BY58" s="1159" t="s">
        <v>528</v>
      </c>
      <c r="BZ58" s="1137" t="s">
        <v>529</v>
      </c>
      <c r="CA58" s="1137"/>
      <c r="CB58" s="1137"/>
      <c r="CC58" s="1137"/>
      <c r="CD58" s="1137"/>
      <c r="CE58" s="1140"/>
      <c r="CF58" s="1141" t="s">
        <v>676</v>
      </c>
      <c r="CG58" s="1142">
        <v>20</v>
      </c>
      <c r="CH58" s="1143">
        <v>0.29166666666666669</v>
      </c>
      <c r="CI58" s="1144">
        <v>0.5625</v>
      </c>
      <c r="CJ58" s="1145">
        <v>1</v>
      </c>
      <c r="CK58" s="1146">
        <f t="shared" si="40"/>
        <v>0.24999999999999997</v>
      </c>
      <c r="CL58" s="1137"/>
      <c r="CM58" s="313"/>
    </row>
    <row r="59" spans="1:91" s="357" customFormat="1" ht="20.100000000000001" customHeight="1" x14ac:dyDescent="0.3">
      <c r="A59" s="13"/>
      <c r="B59" s="13"/>
      <c r="C59" s="13"/>
      <c r="D59" s="13"/>
      <c r="E59" s="13"/>
      <c r="F59" s="13"/>
      <c r="G59" s="13"/>
      <c r="H59" s="13"/>
      <c r="I59" s="13"/>
      <c r="J59" s="13"/>
      <c r="K59" s="13"/>
      <c r="L59" s="13"/>
      <c r="M59" s="13"/>
      <c r="N59" s="13"/>
      <c r="O59" s="13"/>
      <c r="P59" s="13"/>
      <c r="Q59" s="13"/>
      <c r="R59" s="13"/>
      <c r="S59" s="13"/>
      <c r="T59" s="470"/>
      <c r="U59" s="470"/>
      <c r="V59" s="470"/>
      <c r="W59" s="470"/>
      <c r="X59" s="470"/>
      <c r="Y59" s="470"/>
      <c r="Z59" s="470"/>
      <c r="AA59" s="470"/>
      <c r="AB59" s="470"/>
      <c r="AC59" s="470"/>
      <c r="AD59" s="470"/>
      <c r="AE59" s="470"/>
      <c r="AF59" s="470"/>
      <c r="AG59" s="389"/>
      <c r="AH59" s="389"/>
      <c r="AI59" s="477"/>
      <c r="AJ59" s="477"/>
      <c r="AK59" s="477"/>
      <c r="AL59" s="477"/>
      <c r="AM59" s="477"/>
      <c r="AN59" s="477"/>
      <c r="AO59" s="477"/>
      <c r="AP59" s="480"/>
      <c r="AQ59" s="386"/>
      <c r="AR59" s="386"/>
      <c r="AS59" s="386"/>
      <c r="AT59" s="386"/>
      <c r="AU59" s="386"/>
      <c r="AV59" s="386"/>
      <c r="AW59" s="386"/>
      <c r="AX59" s="386"/>
      <c r="AZ59" s="394"/>
      <c r="BX59" s="1098"/>
      <c r="BY59" s="1157" t="s">
        <v>530</v>
      </c>
      <c r="BZ59" s="1137" t="s">
        <v>531</v>
      </c>
      <c r="CA59" s="1137"/>
      <c r="CB59" s="1137"/>
      <c r="CC59" s="1137"/>
      <c r="CD59" s="1137"/>
      <c r="CE59" s="1140"/>
      <c r="CF59" s="1160"/>
      <c r="CG59" s="1142">
        <v>21</v>
      </c>
      <c r="CH59" s="1143">
        <v>0</v>
      </c>
      <c r="CI59" s="1144">
        <v>0</v>
      </c>
      <c r="CJ59" s="1145">
        <v>0</v>
      </c>
      <c r="CK59" s="1146">
        <f t="shared" si="40"/>
        <v>0</v>
      </c>
      <c r="CL59" s="1137"/>
      <c r="CM59" s="313"/>
    </row>
    <row r="60" spans="1:91" s="357" customFormat="1" ht="31.5" customHeight="1" x14ac:dyDescent="0.3">
      <c r="A60" s="13"/>
      <c r="B60" s="18"/>
      <c r="C60" s="1178" t="s">
        <v>893</v>
      </c>
      <c r="D60" s="18"/>
      <c r="E60" s="18"/>
      <c r="F60" s="18"/>
      <c r="G60" s="18"/>
      <c r="H60" s="18"/>
      <c r="I60" s="18"/>
      <c r="J60" s="18"/>
      <c r="K60" s="18"/>
      <c r="L60" s="18"/>
      <c r="M60" s="18"/>
      <c r="N60" s="18"/>
      <c r="O60" s="18"/>
      <c r="P60" s="18"/>
      <c r="Q60" s="18"/>
      <c r="R60" s="18"/>
      <c r="S60" s="13"/>
      <c r="T60" s="470"/>
      <c r="U60" s="470"/>
      <c r="V60" s="470"/>
      <c r="W60" s="470"/>
      <c r="X60" s="470"/>
      <c r="Y60" s="470"/>
      <c r="Z60" s="470"/>
      <c r="AA60" s="470"/>
      <c r="AB60" s="470"/>
      <c r="AC60" s="470"/>
      <c r="AD60" s="470"/>
      <c r="AE60" s="470"/>
      <c r="AF60" s="470"/>
      <c r="AG60" s="389"/>
      <c r="AH60" s="389"/>
      <c r="AI60" s="477"/>
      <c r="AJ60" s="477"/>
      <c r="AK60" s="477"/>
      <c r="AL60" s="477"/>
      <c r="AM60" s="477"/>
      <c r="AN60" s="477"/>
      <c r="AO60" s="477"/>
      <c r="AP60" s="480"/>
      <c r="AQ60" s="386"/>
      <c r="AR60" s="386"/>
      <c r="AS60" s="386"/>
      <c r="AT60" s="386"/>
      <c r="AU60" s="386"/>
      <c r="AV60" s="386"/>
      <c r="AW60" s="386"/>
      <c r="AX60" s="386"/>
      <c r="AZ60" s="394"/>
      <c r="BX60" s="1098"/>
      <c r="BY60" s="1159" t="s">
        <v>532</v>
      </c>
      <c r="BZ60" s="1137" t="s">
        <v>533</v>
      </c>
      <c r="CA60" s="1137"/>
      <c r="CB60" s="1137"/>
      <c r="CC60" s="1137"/>
      <c r="CD60" s="1137"/>
      <c r="CE60" s="1140"/>
      <c r="CF60" s="1141" t="s">
        <v>677</v>
      </c>
      <c r="CG60" s="1142">
        <v>22</v>
      </c>
      <c r="CH60" s="1143">
        <v>0.60416666666666663</v>
      </c>
      <c r="CI60" s="1144">
        <v>0.77083333333333337</v>
      </c>
      <c r="CJ60" s="1145">
        <v>0</v>
      </c>
      <c r="CK60" s="1146">
        <f t="shared" si="40"/>
        <v>0.16666666666666674</v>
      </c>
      <c r="CL60" s="1137"/>
      <c r="CM60" s="313"/>
    </row>
    <row r="61" spans="1:91" s="357" customFormat="1" ht="20.100000000000001" customHeight="1" x14ac:dyDescent="0.3">
      <c r="A61" s="13"/>
      <c r="B61" s="18"/>
      <c r="C61" s="616"/>
      <c r="D61" s="18"/>
      <c r="E61" s="18"/>
      <c r="F61" s="18"/>
      <c r="G61" s="18"/>
      <c r="H61" s="18"/>
      <c r="I61" s="18"/>
      <c r="J61" s="18"/>
      <c r="K61" s="18"/>
      <c r="L61" s="18"/>
      <c r="M61" s="18"/>
      <c r="N61" s="18"/>
      <c r="O61" s="18"/>
      <c r="P61" s="18"/>
      <c r="Q61" s="18"/>
      <c r="R61" s="18"/>
      <c r="S61" s="13"/>
      <c r="T61" s="470"/>
      <c r="U61" s="470"/>
      <c r="V61" s="470"/>
      <c r="W61" s="470"/>
      <c r="X61" s="470"/>
      <c r="Y61" s="470"/>
      <c r="Z61" s="470"/>
      <c r="AA61" s="470"/>
      <c r="AB61" s="470"/>
      <c r="AC61" s="470"/>
      <c r="AD61" s="470"/>
      <c r="AE61" s="470"/>
      <c r="AF61" s="470"/>
      <c r="AG61" s="389"/>
      <c r="AH61" s="389"/>
      <c r="AI61" s="477"/>
      <c r="AJ61" s="477"/>
      <c r="AK61" s="477"/>
      <c r="AL61" s="477"/>
      <c r="AM61" s="477"/>
      <c r="AN61" s="477"/>
      <c r="AO61" s="477"/>
      <c r="AP61" s="480"/>
      <c r="AQ61" s="386"/>
      <c r="AR61" s="386"/>
      <c r="AS61" s="386"/>
      <c r="AT61" s="386"/>
      <c r="AU61" s="386"/>
      <c r="AV61" s="386"/>
      <c r="AW61" s="386"/>
      <c r="AX61" s="386"/>
      <c r="AZ61" s="394"/>
      <c r="BX61" s="1098"/>
      <c r="BY61" s="1159" t="s">
        <v>534</v>
      </c>
      <c r="BZ61" s="1137" t="s">
        <v>535</v>
      </c>
      <c r="CA61" s="1137"/>
      <c r="CB61" s="1137"/>
      <c r="CC61" s="1137"/>
      <c r="CD61" s="1137"/>
      <c r="CE61" s="1140"/>
      <c r="CF61" s="1141" t="s">
        <v>678</v>
      </c>
      <c r="CG61" s="1150">
        <v>23</v>
      </c>
      <c r="CH61" s="1151">
        <v>0.60416666666666663</v>
      </c>
      <c r="CI61" s="1152">
        <v>0.64583333333333337</v>
      </c>
      <c r="CJ61" s="1153">
        <v>0</v>
      </c>
      <c r="CK61" s="1154">
        <f t="shared" si="40"/>
        <v>4.1666666666666741E-2</v>
      </c>
      <c r="CL61" s="1137"/>
      <c r="CM61" s="313"/>
    </row>
    <row r="62" spans="1:91" ht="20.100000000000001" customHeight="1" x14ac:dyDescent="0.3">
      <c r="B62" s="1261">
        <v>2021</v>
      </c>
      <c r="C62" s="616" t="s">
        <v>1032</v>
      </c>
      <c r="D62" s="18"/>
      <c r="E62" s="18"/>
      <c r="F62" s="18"/>
      <c r="G62" s="18"/>
      <c r="H62" s="18"/>
      <c r="I62" s="18"/>
      <c r="J62" s="18"/>
      <c r="K62" s="18"/>
      <c r="L62" s="18"/>
      <c r="M62" s="18"/>
      <c r="N62" s="18"/>
      <c r="O62" s="18"/>
      <c r="P62" s="18"/>
      <c r="Q62" s="470"/>
      <c r="R62" s="470"/>
      <c r="S62" s="470"/>
      <c r="T62" s="470"/>
      <c r="U62" s="470"/>
      <c r="V62" s="470"/>
      <c r="W62" s="470"/>
      <c r="X62" s="470"/>
      <c r="Y62" s="470"/>
      <c r="Z62" s="470"/>
      <c r="AA62" s="470"/>
      <c r="AB62" s="470"/>
      <c r="AC62" s="470"/>
      <c r="AD62" s="470"/>
      <c r="AE62" s="470"/>
      <c r="AF62" s="470"/>
      <c r="AG62" s="389"/>
      <c r="AH62" s="389"/>
      <c r="AI62" s="477"/>
      <c r="AJ62" s="477"/>
      <c r="BJ62" s="547" t="s">
        <v>101</v>
      </c>
      <c r="BK62" s="50">
        <v>0.375</v>
      </c>
      <c r="BL62" s="50">
        <v>0.625</v>
      </c>
      <c r="BM62" s="51">
        <v>1</v>
      </c>
      <c r="BN62" s="589">
        <f>IF(BL62-BK62=0,0,(BL62-BK62)-(BM62*TIMEVALUE("00:30")))</f>
        <v>0.22916666666666666</v>
      </c>
      <c r="BO62" s="587" t="s">
        <v>783</v>
      </c>
      <c r="BP62" s="1258"/>
      <c r="BQ62" s="55"/>
      <c r="BR62" s="56"/>
      <c r="BS62" s="56"/>
      <c r="BT62" s="56"/>
      <c r="BU62" s="56"/>
      <c r="BX62" s="1098"/>
      <c r="BY62" s="1157" t="s">
        <v>536</v>
      </c>
      <c r="BZ62" s="1137" t="s">
        <v>537</v>
      </c>
      <c r="CA62" s="1137"/>
      <c r="CB62" s="1137"/>
      <c r="CC62" s="1137"/>
      <c r="CD62" s="1137"/>
      <c r="CE62" s="1140"/>
      <c r="CF62" s="1158" t="s">
        <v>679</v>
      </c>
      <c r="CG62" s="1142">
        <v>24</v>
      </c>
      <c r="CH62" s="1143">
        <v>0</v>
      </c>
      <c r="CI62" s="1144">
        <v>0</v>
      </c>
      <c r="CJ62" s="1145">
        <v>0</v>
      </c>
      <c r="CK62" s="1146">
        <f t="shared" si="40"/>
        <v>0</v>
      </c>
      <c r="CL62" s="1137"/>
      <c r="CM62" s="313"/>
    </row>
    <row r="63" spans="1:91" ht="20.100000000000001" customHeight="1" x14ac:dyDescent="0.3">
      <c r="B63" s="1288" t="s">
        <v>1026</v>
      </c>
      <c r="C63" s="616" t="s">
        <v>1028</v>
      </c>
      <c r="D63" s="1289"/>
      <c r="E63" s="1289"/>
      <c r="F63" s="1289"/>
      <c r="G63" s="1289"/>
      <c r="H63" s="1289"/>
      <c r="I63" s="1289"/>
      <c r="J63" s="1289"/>
      <c r="K63" s="1289"/>
      <c r="L63" s="1289"/>
      <c r="M63" s="1289"/>
      <c r="N63" s="1289"/>
      <c r="O63" s="1289"/>
      <c r="P63" s="1289"/>
      <c r="Q63" s="1289"/>
      <c r="R63" s="1289"/>
      <c r="S63" s="1289"/>
      <c r="T63" s="1289"/>
      <c r="U63" s="1289"/>
      <c r="V63" s="1289"/>
      <c r="W63" s="1289"/>
      <c r="X63" s="1289"/>
      <c r="Y63" s="1289"/>
      <c r="Z63" s="1289"/>
      <c r="AA63" s="1289"/>
      <c r="AB63" s="1289"/>
      <c r="AC63" s="1289"/>
      <c r="AD63" s="1289"/>
      <c r="AE63" s="1289"/>
      <c r="AF63" s="1290"/>
      <c r="AG63" s="389"/>
      <c r="AH63" s="389"/>
      <c r="AI63" s="477"/>
      <c r="AJ63" s="477"/>
      <c r="BN63" s="590"/>
      <c r="BO63" s="588"/>
      <c r="BP63" s="588"/>
      <c r="BQ63" s="56"/>
      <c r="BR63" s="56"/>
      <c r="BS63" s="56"/>
      <c r="BT63" s="56"/>
      <c r="BU63" s="56"/>
      <c r="BX63" s="1098"/>
      <c r="BY63" s="1103"/>
      <c r="BZ63" s="1103"/>
      <c r="CA63" s="1103"/>
      <c r="CB63" s="1103"/>
      <c r="CC63" s="1103"/>
      <c r="CD63" s="1103"/>
      <c r="CE63" s="1103"/>
      <c r="CF63" s="1103"/>
      <c r="CG63" s="1103"/>
      <c r="CH63" s="1103"/>
      <c r="CI63" s="1103"/>
      <c r="CJ63" s="1103"/>
      <c r="CK63" s="1103"/>
      <c r="CL63" s="1103"/>
      <c r="CM63" s="313"/>
    </row>
    <row r="64" spans="1:91" ht="20.100000000000001" customHeight="1" x14ac:dyDescent="0.3">
      <c r="B64" s="18"/>
      <c r="C64" s="616"/>
      <c r="D64" s="18"/>
      <c r="E64" s="18"/>
      <c r="F64" s="18"/>
      <c r="G64" s="18"/>
      <c r="H64" s="18"/>
      <c r="I64" s="18"/>
      <c r="J64" s="18"/>
      <c r="K64" s="18"/>
      <c r="L64" s="18"/>
      <c r="M64" s="18"/>
      <c r="N64" s="18"/>
      <c r="O64" s="18"/>
      <c r="P64" s="18"/>
      <c r="Q64" s="18"/>
      <c r="R64" s="18"/>
      <c r="S64" s="13"/>
      <c r="T64" s="470"/>
      <c r="U64" s="470"/>
      <c r="V64" s="470"/>
      <c r="W64" s="470"/>
      <c r="X64" s="470"/>
      <c r="Y64" s="470"/>
      <c r="Z64" s="470"/>
      <c r="AA64" s="470"/>
      <c r="AB64" s="470"/>
      <c r="AC64" s="470"/>
      <c r="AD64" s="470"/>
      <c r="AE64" s="470"/>
      <c r="AF64" s="470"/>
      <c r="AG64" s="389"/>
      <c r="AH64" s="389"/>
      <c r="AI64" s="477"/>
      <c r="AJ64" s="477"/>
      <c r="BN64" s="590"/>
      <c r="BO64" s="588"/>
      <c r="BP64" s="588"/>
      <c r="BQ64" s="56"/>
      <c r="BR64" s="56"/>
      <c r="BS64" s="56"/>
      <c r="BT64" s="56"/>
      <c r="BU64" s="56"/>
      <c r="BX64" s="1098"/>
      <c r="BY64" s="1103"/>
      <c r="BZ64" s="1103"/>
      <c r="CA64" s="1103"/>
      <c r="CB64" s="1103"/>
      <c r="CC64" s="1103"/>
      <c r="CD64" s="1103"/>
      <c r="CE64" s="1103"/>
      <c r="CF64" s="1103"/>
      <c r="CG64" s="1103"/>
      <c r="CH64" s="1103"/>
      <c r="CI64" s="1103"/>
      <c r="CJ64" s="1103"/>
      <c r="CK64" s="1103"/>
      <c r="CL64" s="1103"/>
      <c r="CM64" s="313"/>
    </row>
    <row r="65" spans="2:91" ht="20.100000000000001" customHeight="1" x14ac:dyDescent="0.25">
      <c r="B65" s="557" t="s">
        <v>720</v>
      </c>
      <c r="C65" s="616" t="s">
        <v>883</v>
      </c>
      <c r="D65" s="18"/>
      <c r="E65" s="18"/>
      <c r="F65" s="18"/>
      <c r="G65" s="18"/>
      <c r="H65" s="18"/>
      <c r="I65" s="18"/>
      <c r="J65" s="18"/>
      <c r="K65" s="18"/>
      <c r="L65" s="18"/>
      <c r="M65" s="18"/>
      <c r="N65" s="18"/>
      <c r="O65" s="18"/>
      <c r="P65" s="18"/>
      <c r="Q65" s="18"/>
      <c r="R65" s="18"/>
      <c r="S65" s="13"/>
      <c r="T65" s="470"/>
      <c r="U65" s="470"/>
      <c r="V65" s="470"/>
      <c r="W65" s="470"/>
      <c r="X65" s="470"/>
      <c r="Y65" s="470"/>
      <c r="Z65" s="470"/>
      <c r="AA65" s="470"/>
      <c r="AB65" s="470"/>
      <c r="AC65" s="470"/>
      <c r="AD65" s="470"/>
      <c r="AE65" s="470"/>
      <c r="AF65" s="470"/>
      <c r="AG65" s="389"/>
      <c r="AH65" s="389"/>
      <c r="AI65" s="477"/>
      <c r="AJ65" s="477"/>
      <c r="BJ65" s="547" t="s">
        <v>102</v>
      </c>
      <c r="BK65" s="50">
        <v>0.58333333333333337</v>
      </c>
      <c r="BL65" s="50">
        <v>0.75</v>
      </c>
      <c r="BM65" s="51">
        <v>0</v>
      </c>
      <c r="BN65" s="589">
        <f>IF(BL65-BK65=0,0,(BL65-BK65)-(BM65*TIMEVALUE("00:30")))</f>
        <v>0.16666666666666663</v>
      </c>
      <c r="BO65" s="587" t="s">
        <v>132</v>
      </c>
      <c r="BP65" s="1258"/>
      <c r="BQ65" s="55"/>
      <c r="BR65" s="56"/>
      <c r="BS65" s="56"/>
      <c r="BT65" s="56"/>
      <c r="BU65" s="56"/>
      <c r="BX65" s="1127"/>
      <c r="BY65" s="1128"/>
      <c r="BZ65" s="1128"/>
      <c r="CA65" s="1128"/>
      <c r="CB65" s="1128"/>
      <c r="CC65" s="1128"/>
      <c r="CD65" s="1128"/>
      <c r="CE65" s="1128"/>
      <c r="CF65" s="1128"/>
      <c r="CG65" s="1128"/>
      <c r="CH65" s="1128"/>
      <c r="CI65" s="1128"/>
      <c r="CJ65" s="1128"/>
      <c r="CK65" s="1128"/>
      <c r="CL65" s="1128"/>
      <c r="CM65" s="1129"/>
    </row>
    <row r="66" spans="2:91" ht="20.100000000000001" customHeight="1" x14ac:dyDescent="0.3">
      <c r="B66" s="18"/>
      <c r="C66" s="616"/>
      <c r="D66" s="18"/>
      <c r="E66" s="18"/>
      <c r="F66" s="18"/>
      <c r="G66" s="18"/>
      <c r="H66" s="18"/>
      <c r="I66" s="18"/>
      <c r="J66" s="18"/>
      <c r="K66" s="18"/>
      <c r="L66" s="18"/>
      <c r="M66" s="18"/>
      <c r="N66" s="18"/>
      <c r="O66" s="18"/>
      <c r="P66" s="18"/>
      <c r="Q66" s="18"/>
      <c r="R66" s="18"/>
      <c r="S66" s="13"/>
      <c r="T66" s="470"/>
      <c r="U66" s="470"/>
      <c r="V66" s="470"/>
      <c r="W66" s="470"/>
      <c r="X66" s="470"/>
      <c r="Y66" s="470"/>
      <c r="Z66" s="470"/>
      <c r="AA66" s="470"/>
      <c r="AB66" s="470"/>
      <c r="AC66" s="470"/>
      <c r="AD66" s="470"/>
      <c r="AE66" s="470"/>
      <c r="AF66" s="470"/>
      <c r="AG66" s="389"/>
      <c r="AH66" s="389"/>
      <c r="AI66" s="477"/>
      <c r="AJ66" s="477"/>
      <c r="BN66" s="590"/>
      <c r="BO66" s="588"/>
      <c r="BP66" s="588"/>
      <c r="BQ66" s="56"/>
      <c r="BR66" s="56"/>
      <c r="BS66" s="56"/>
      <c r="BT66" s="56"/>
      <c r="BU66" s="56"/>
      <c r="BX66" s="497"/>
      <c r="BY66" s="497"/>
      <c r="BZ66" s="497"/>
      <c r="CA66" s="497"/>
      <c r="CB66" s="497"/>
      <c r="CC66" s="497"/>
      <c r="CD66" s="497"/>
      <c r="CE66" s="497"/>
      <c r="CF66" s="497"/>
      <c r="CG66" s="497"/>
      <c r="CH66" s="497"/>
      <c r="CI66" s="497"/>
      <c r="CJ66" s="497"/>
      <c r="CK66" s="497"/>
      <c r="CL66" s="497"/>
      <c r="CM66" s="497"/>
    </row>
    <row r="67" spans="2:91" ht="20.100000000000001" customHeight="1" x14ac:dyDescent="0.25">
      <c r="B67" s="727" t="s">
        <v>884</v>
      </c>
      <c r="C67" s="616"/>
      <c r="D67" s="18"/>
      <c r="E67" s="18"/>
      <c r="F67" s="18"/>
      <c r="G67" s="18"/>
      <c r="H67" s="18"/>
      <c r="I67" s="18"/>
      <c r="J67" s="18"/>
      <c r="K67" s="18"/>
      <c r="L67" s="18"/>
      <c r="M67" s="18"/>
      <c r="N67" s="18"/>
      <c r="O67" s="18"/>
      <c r="P67" s="18"/>
      <c r="Q67" s="18"/>
      <c r="R67" s="18"/>
      <c r="S67" s="13"/>
      <c r="T67" s="470"/>
      <c r="U67" s="470"/>
      <c r="V67" s="470"/>
      <c r="W67" s="470"/>
      <c r="X67" s="470"/>
      <c r="Y67" s="470"/>
      <c r="Z67" s="470"/>
      <c r="AA67" s="470"/>
      <c r="AB67" s="470"/>
      <c r="AC67" s="470"/>
      <c r="AD67" s="470"/>
      <c r="AE67" s="470"/>
      <c r="AF67" s="470"/>
      <c r="AG67" s="389"/>
      <c r="AH67" s="389"/>
      <c r="AI67" s="477"/>
      <c r="AJ67" s="477"/>
      <c r="BJ67" s="547" t="s">
        <v>103</v>
      </c>
      <c r="BK67" s="50">
        <v>0.58333333333333337</v>
      </c>
      <c r="BL67" s="50">
        <v>0.75</v>
      </c>
      <c r="BM67" s="51">
        <v>0</v>
      </c>
      <c r="BN67" s="589">
        <f>IF(BL67-BK67=0,0,(BL67-BK67)-(BM67*TIMEVALUE("00:30")))</f>
        <v>0.16666666666666663</v>
      </c>
      <c r="BO67" s="587" t="s">
        <v>133</v>
      </c>
      <c r="BP67" s="1258"/>
      <c r="BQ67" s="55"/>
      <c r="BR67" s="56"/>
      <c r="BS67" s="56"/>
      <c r="BT67" s="56"/>
      <c r="BU67" s="56"/>
      <c r="BX67" s="497"/>
      <c r="BY67" s="497"/>
      <c r="BZ67" s="497"/>
      <c r="CA67" s="497"/>
      <c r="CB67" s="497"/>
      <c r="CC67" s="497"/>
      <c r="CD67" s="497"/>
      <c r="CE67" s="497"/>
      <c r="CF67" s="497"/>
      <c r="CG67" s="497"/>
      <c r="CH67" s="497"/>
      <c r="CI67" s="497"/>
      <c r="CJ67" s="497"/>
      <c r="CK67" s="497"/>
      <c r="CL67" s="497"/>
      <c r="CM67" s="497"/>
    </row>
    <row r="68" spans="2:91" ht="20.100000000000001" customHeight="1" x14ac:dyDescent="0.25">
      <c r="B68" s="728"/>
      <c r="C68" s="616"/>
      <c r="D68" s="18"/>
      <c r="E68" s="18"/>
      <c r="F68" s="18"/>
      <c r="G68" s="18"/>
      <c r="H68" s="18"/>
      <c r="I68" s="18"/>
      <c r="J68" s="18"/>
      <c r="K68" s="18"/>
      <c r="L68" s="18"/>
      <c r="M68" s="18"/>
      <c r="N68" s="18"/>
      <c r="O68" s="18"/>
      <c r="P68" s="18"/>
      <c r="Q68" s="18"/>
      <c r="R68" s="18"/>
      <c r="S68" s="13"/>
      <c r="T68" s="470"/>
      <c r="U68" s="470"/>
      <c r="V68" s="470"/>
      <c r="W68" s="470"/>
      <c r="X68" s="470"/>
      <c r="Y68" s="470"/>
      <c r="Z68" s="470"/>
      <c r="AA68" s="470"/>
      <c r="AB68" s="470"/>
      <c r="AC68" s="470"/>
      <c r="AD68" s="470"/>
      <c r="AE68" s="470"/>
      <c r="AF68" s="470"/>
      <c r="AG68" s="389"/>
      <c r="AH68" s="389"/>
      <c r="AI68" s="477"/>
      <c r="AJ68" s="477"/>
      <c r="BJ68" s="729"/>
      <c r="BK68" s="50"/>
      <c r="BL68" s="50"/>
      <c r="BM68" s="51"/>
      <c r="BN68" s="589"/>
      <c r="BO68" s="587"/>
      <c r="BP68" s="1258"/>
      <c r="BQ68" s="55"/>
      <c r="BR68" s="56"/>
      <c r="BS68" s="56"/>
      <c r="BT68" s="56"/>
      <c r="BU68" s="56"/>
      <c r="BX68" s="497"/>
      <c r="BY68" s="497"/>
      <c r="BZ68" s="497"/>
      <c r="CA68" s="497"/>
      <c r="CB68" s="497"/>
      <c r="CC68" s="497"/>
      <c r="CD68" s="497"/>
      <c r="CE68" s="497"/>
      <c r="CF68" s="497"/>
      <c r="CG68" s="497"/>
      <c r="CH68" s="497"/>
      <c r="CI68" s="497"/>
      <c r="CJ68" s="497"/>
      <c r="CK68" s="497"/>
      <c r="CL68" s="497"/>
      <c r="CM68" s="497"/>
    </row>
    <row r="69" spans="2:91" ht="20.100000000000001" customHeight="1" x14ac:dyDescent="0.35">
      <c r="B69" s="732" t="s">
        <v>886</v>
      </c>
      <c r="C69" s="731" t="s">
        <v>37</v>
      </c>
      <c r="D69" s="731" t="s">
        <v>887</v>
      </c>
      <c r="E69" s="731" t="s">
        <v>109</v>
      </c>
      <c r="F69" s="731" t="s">
        <v>888</v>
      </c>
      <c r="G69" s="731" t="s">
        <v>110</v>
      </c>
      <c r="H69" s="18"/>
      <c r="I69" s="18"/>
      <c r="J69" s="18"/>
      <c r="K69" s="18"/>
      <c r="L69" s="18"/>
      <c r="M69" s="18"/>
      <c r="N69" s="18"/>
      <c r="O69" s="18"/>
      <c r="P69" s="18"/>
      <c r="Q69" s="18"/>
      <c r="R69" s="18"/>
      <c r="S69" s="13"/>
      <c r="T69" s="470"/>
      <c r="U69" s="470"/>
      <c r="V69" s="470"/>
      <c r="W69" s="470"/>
      <c r="X69" s="470"/>
      <c r="Y69" s="470"/>
      <c r="Z69" s="470"/>
      <c r="AA69" s="470"/>
      <c r="AB69" s="470"/>
      <c r="AC69" s="470"/>
      <c r="AD69" s="470"/>
      <c r="AE69" s="470"/>
      <c r="AF69" s="470"/>
      <c r="AG69" s="389"/>
      <c r="AH69" s="389"/>
      <c r="AI69" s="477"/>
      <c r="AJ69" s="477"/>
      <c r="BJ69" s="729"/>
      <c r="BK69" s="50"/>
      <c r="BL69" s="50"/>
      <c r="BM69" s="51"/>
      <c r="BN69" s="589"/>
      <c r="BO69" s="587"/>
      <c r="BP69" s="1258"/>
      <c r="BQ69" s="55"/>
      <c r="BR69" s="56"/>
      <c r="BS69" s="56"/>
      <c r="BT69" s="56"/>
      <c r="BU69" s="56"/>
      <c r="BX69" s="497"/>
      <c r="BY69" s="497"/>
      <c r="BZ69" s="497"/>
      <c r="CA69" s="497"/>
      <c r="CB69" s="497"/>
      <c r="CC69" s="497"/>
      <c r="CD69" s="497"/>
      <c r="CE69" s="497"/>
      <c r="CF69" s="497"/>
      <c r="CG69" s="497"/>
      <c r="CH69" s="497"/>
      <c r="CI69" s="497"/>
      <c r="CJ69" s="497"/>
      <c r="CK69" s="497"/>
      <c r="CL69" s="497"/>
      <c r="CM69" s="497"/>
    </row>
    <row r="70" spans="2:91" ht="20.100000000000001" customHeight="1" x14ac:dyDescent="0.3">
      <c r="B70" s="18"/>
      <c r="C70" s="547" t="s">
        <v>37</v>
      </c>
      <c r="D70" s="547" t="s">
        <v>715</v>
      </c>
      <c r="E70" s="547" t="s">
        <v>716</v>
      </c>
      <c r="F70" s="547" t="s">
        <v>717</v>
      </c>
      <c r="G70" s="547" t="s">
        <v>718</v>
      </c>
      <c r="H70" s="567"/>
      <c r="I70" s="572" t="s">
        <v>7</v>
      </c>
      <c r="J70" s="549" t="s">
        <v>373</v>
      </c>
      <c r="K70" s="550" t="s">
        <v>364</v>
      </c>
      <c r="L70" s="551" t="s">
        <v>360</v>
      </c>
      <c r="M70" s="552" t="s">
        <v>356</v>
      </c>
      <c r="N70" s="553" t="s">
        <v>8</v>
      </c>
      <c r="O70" s="554" t="s">
        <v>662</v>
      </c>
      <c r="P70" s="555" t="s">
        <v>358</v>
      </c>
      <c r="Q70" s="18"/>
      <c r="R70" s="18"/>
      <c r="S70" s="13"/>
      <c r="T70" s="470"/>
      <c r="U70" s="470"/>
      <c r="V70" s="470"/>
      <c r="W70" s="470"/>
      <c r="X70" s="470"/>
      <c r="Y70" s="470"/>
      <c r="Z70" s="470"/>
      <c r="AA70" s="470"/>
      <c r="AB70" s="470"/>
      <c r="AC70" s="470"/>
      <c r="AD70" s="470"/>
      <c r="AE70" s="470"/>
      <c r="AF70" s="470"/>
      <c r="AG70" s="389"/>
      <c r="AH70" s="389"/>
      <c r="AI70" s="477"/>
      <c r="AJ70" s="477"/>
      <c r="BJ70" s="588"/>
      <c r="BK70" s="588"/>
      <c r="BL70" s="588"/>
      <c r="BM70" s="588"/>
      <c r="BN70" s="588"/>
      <c r="BO70" s="588"/>
      <c r="BP70" s="588"/>
      <c r="BQ70" s="588"/>
      <c r="BR70" s="588"/>
      <c r="BS70" s="588"/>
      <c r="BT70" s="588"/>
      <c r="BU70" s="588"/>
      <c r="BX70" s="497"/>
      <c r="BY70" s="497"/>
      <c r="BZ70" s="497"/>
      <c r="CA70" s="497"/>
      <c r="CB70" s="497"/>
      <c r="CC70" s="497"/>
      <c r="CD70" s="497"/>
      <c r="CE70" s="497"/>
      <c r="CF70" s="497"/>
      <c r="CG70" s="497"/>
      <c r="CH70" s="497"/>
      <c r="CI70" s="497"/>
      <c r="CJ70" s="497"/>
      <c r="CK70" s="497"/>
      <c r="CL70" s="497"/>
      <c r="CM70" s="497"/>
    </row>
    <row r="71" spans="2:91" ht="20.100000000000001" customHeight="1" x14ac:dyDescent="0.3">
      <c r="B71" s="18"/>
      <c r="C71" s="500">
        <v>0.29166666666666669</v>
      </c>
      <c r="D71" s="500">
        <v>0.3125</v>
      </c>
      <c r="E71" s="500">
        <v>0.33333333333333331</v>
      </c>
      <c r="F71" s="500">
        <v>0.25</v>
      </c>
      <c r="G71" s="500">
        <v>0.125</v>
      </c>
      <c r="H71" s="730" t="s">
        <v>719</v>
      </c>
      <c r="I71" s="563"/>
      <c r="J71" s="563"/>
      <c r="K71" s="563"/>
      <c r="L71" s="563"/>
      <c r="M71" s="18"/>
      <c r="N71" s="18"/>
      <c r="O71" s="18"/>
      <c r="P71" s="18"/>
      <c r="Q71" s="18"/>
      <c r="R71" s="18"/>
      <c r="S71" s="13"/>
      <c r="T71" s="470"/>
      <c r="U71" s="470"/>
      <c r="V71" s="470"/>
      <c r="W71" s="470"/>
      <c r="X71" s="470"/>
      <c r="Y71" s="470"/>
      <c r="Z71" s="470"/>
      <c r="AA71" s="470"/>
      <c r="AB71" s="470"/>
      <c r="AC71" s="470"/>
      <c r="AD71" s="470"/>
      <c r="AE71" s="470"/>
      <c r="AF71" s="470"/>
      <c r="AG71" s="389"/>
      <c r="AH71" s="389"/>
      <c r="AI71" s="477"/>
      <c r="AJ71" s="477"/>
      <c r="BJ71" s="591"/>
      <c r="BK71" s="592" t="s">
        <v>784</v>
      </c>
      <c r="BL71" s="1258"/>
      <c r="BM71" s="593"/>
      <c r="BN71" s="589"/>
      <c r="BO71" s="587"/>
      <c r="BP71" s="1258"/>
      <c r="BQ71" s="1258"/>
      <c r="BR71" s="588"/>
      <c r="BS71" s="588"/>
      <c r="BT71" s="588"/>
      <c r="BU71" s="588"/>
      <c r="BX71" s="497"/>
      <c r="BY71" s="497"/>
      <c r="BZ71" s="497"/>
      <c r="CA71" s="497"/>
      <c r="CB71" s="497"/>
      <c r="CC71" s="497"/>
      <c r="CD71" s="497"/>
      <c r="CE71" s="497"/>
      <c r="CF71" s="497"/>
      <c r="CG71" s="497"/>
      <c r="CH71" s="497"/>
      <c r="CI71" s="497"/>
      <c r="CJ71" s="497"/>
      <c r="CK71" s="497"/>
      <c r="CL71" s="497"/>
      <c r="CM71" s="497"/>
    </row>
    <row r="72" spans="2:91" ht="20.100000000000001" customHeight="1" x14ac:dyDescent="0.3">
      <c r="B72" s="727" t="s">
        <v>1033</v>
      </c>
      <c r="C72" s="616"/>
      <c r="D72" s="18"/>
      <c r="E72" s="18"/>
      <c r="F72" s="18"/>
      <c r="G72" s="18"/>
      <c r="H72" s="18"/>
      <c r="I72" s="18"/>
      <c r="J72" s="18"/>
      <c r="K72" s="18"/>
      <c r="L72" s="18"/>
      <c r="M72" s="18"/>
      <c r="N72" s="18"/>
      <c r="O72" s="18"/>
      <c r="P72" s="18"/>
      <c r="Q72" s="18"/>
      <c r="R72" s="18"/>
      <c r="S72" s="13"/>
      <c r="T72" s="470"/>
      <c r="U72" s="470"/>
      <c r="V72" s="470"/>
      <c r="W72" s="470"/>
      <c r="X72" s="470"/>
      <c r="Y72" s="470"/>
      <c r="Z72" s="470"/>
      <c r="AA72" s="470"/>
      <c r="AB72" s="470"/>
      <c r="AC72" s="470"/>
      <c r="AD72" s="470"/>
      <c r="AE72" s="470"/>
      <c r="AF72" s="470"/>
      <c r="AG72" s="389"/>
      <c r="AH72" s="389"/>
      <c r="AI72" s="477"/>
      <c r="AJ72" s="477"/>
      <c r="BJ72" s="588"/>
      <c r="BK72" s="588"/>
      <c r="BL72" s="588"/>
      <c r="BM72" s="588"/>
      <c r="BN72" s="588"/>
      <c r="BO72" s="588"/>
      <c r="BP72" s="588"/>
      <c r="BQ72" s="588"/>
      <c r="BR72" s="588"/>
      <c r="BS72" s="588"/>
      <c r="BT72" s="588"/>
      <c r="BU72" s="588"/>
      <c r="BX72" s="497"/>
      <c r="BY72" s="497"/>
      <c r="BZ72" s="497"/>
      <c r="CA72" s="497"/>
      <c r="CB72" s="497"/>
      <c r="CC72" s="497"/>
      <c r="CD72" s="497"/>
      <c r="CE72" s="497"/>
      <c r="CF72" s="497"/>
      <c r="CG72" s="497"/>
      <c r="CH72" s="497"/>
      <c r="CI72" s="497"/>
      <c r="CJ72" s="497"/>
      <c r="CK72" s="497"/>
      <c r="CL72" s="497"/>
      <c r="CM72" s="497"/>
    </row>
    <row r="73" spans="2:91" ht="20.100000000000001" customHeight="1" x14ac:dyDescent="0.25">
      <c r="B73" s="18"/>
      <c r="C73" s="616"/>
      <c r="D73" s="18"/>
      <c r="E73" s="18"/>
      <c r="F73" s="18"/>
      <c r="G73" s="18"/>
      <c r="H73" s="18"/>
      <c r="I73" s="18"/>
      <c r="J73" s="18"/>
      <c r="K73" s="18"/>
      <c r="L73" s="18"/>
      <c r="M73" s="18"/>
      <c r="N73" s="18"/>
      <c r="O73" s="18"/>
      <c r="P73" s="18"/>
      <c r="Q73" s="18"/>
      <c r="R73" s="18"/>
      <c r="S73" s="13"/>
      <c r="T73" s="470"/>
      <c r="U73" s="470"/>
      <c r="V73" s="470"/>
      <c r="W73" s="470"/>
      <c r="X73" s="470"/>
      <c r="Y73" s="470"/>
      <c r="Z73" s="470"/>
      <c r="AA73" s="470"/>
      <c r="AB73" s="470"/>
      <c r="AC73" s="470"/>
      <c r="AD73" s="470"/>
      <c r="AE73" s="470"/>
      <c r="AF73" s="470"/>
      <c r="AG73" s="389"/>
      <c r="AH73" s="389"/>
      <c r="AI73" s="477"/>
      <c r="AJ73" s="477"/>
      <c r="BJ73" s="547" t="s">
        <v>104</v>
      </c>
      <c r="BK73" s="50">
        <v>0.58333333333333337</v>
      </c>
      <c r="BL73" s="50">
        <v>0.75</v>
      </c>
      <c r="BM73" s="51">
        <v>0</v>
      </c>
      <c r="BN73" s="589">
        <f>IF(BL73-BK73=0,0,(BL73-BK73)-(BM73*TIMEVALUE("00:30")))</f>
        <v>0.16666666666666663</v>
      </c>
      <c r="BO73" s="587" t="s">
        <v>76</v>
      </c>
      <c r="BP73" s="54"/>
      <c r="BQ73" s="55"/>
      <c r="BR73" s="56"/>
      <c r="BS73" s="56"/>
      <c r="BT73" s="56"/>
      <c r="BU73" s="56"/>
      <c r="BX73" s="497"/>
      <c r="BY73" s="497"/>
      <c r="BZ73" s="497"/>
      <c r="CA73" s="497"/>
      <c r="CB73" s="497"/>
      <c r="CC73" s="497"/>
      <c r="CD73" s="497"/>
      <c r="CE73" s="497"/>
      <c r="CF73" s="497"/>
      <c r="CG73" s="497"/>
      <c r="CH73" s="497"/>
      <c r="CI73" s="497"/>
      <c r="CJ73" s="497"/>
      <c r="CK73" s="497"/>
      <c r="CL73" s="497"/>
      <c r="CM73" s="497"/>
    </row>
    <row r="74" spans="2:91" ht="20.100000000000001" customHeight="1" x14ac:dyDescent="0.25">
      <c r="B74" s="616" t="s">
        <v>889</v>
      </c>
      <c r="C74" s="616"/>
      <c r="D74" s="18"/>
      <c r="E74" s="18"/>
      <c r="F74" s="18"/>
      <c r="G74" s="18"/>
      <c r="H74" s="563"/>
      <c r="I74" s="563"/>
      <c r="J74" s="563"/>
      <c r="K74" s="563"/>
      <c r="L74" s="563"/>
      <c r="M74" s="563"/>
      <c r="N74" s="563"/>
      <c r="O74" s="563"/>
      <c r="P74" s="563"/>
      <c r="Q74" s="563"/>
      <c r="R74" s="563"/>
      <c r="S74" s="563"/>
      <c r="T74" s="563"/>
      <c r="U74" s="563"/>
      <c r="V74" s="563"/>
      <c r="W74" s="470"/>
      <c r="X74" s="470"/>
      <c r="Y74" s="470"/>
      <c r="Z74" s="470"/>
      <c r="AA74" s="470"/>
      <c r="AB74" s="470"/>
      <c r="AC74" s="470"/>
      <c r="AD74" s="470"/>
      <c r="AE74" s="470"/>
      <c r="AF74" s="470"/>
      <c r="AG74" s="389"/>
      <c r="AH74" s="389"/>
      <c r="AI74" s="477"/>
      <c r="AJ74" s="477"/>
      <c r="BO74" s="56"/>
      <c r="BP74" s="56"/>
      <c r="BQ74" s="56"/>
      <c r="BR74" s="56"/>
      <c r="BS74" s="56"/>
      <c r="BT74" s="56"/>
      <c r="BU74" s="56"/>
      <c r="BX74" s="497"/>
      <c r="BY74" s="497"/>
      <c r="BZ74" s="497"/>
      <c r="CA74" s="497"/>
      <c r="CB74" s="497"/>
      <c r="CC74" s="497"/>
      <c r="CD74" s="497"/>
      <c r="CE74" s="497"/>
      <c r="CF74" s="497"/>
      <c r="CG74" s="497"/>
      <c r="CH74" s="497"/>
      <c r="CI74" s="497"/>
      <c r="CJ74" s="497"/>
      <c r="CK74" s="497"/>
      <c r="CL74" s="497"/>
      <c r="CM74" s="497"/>
    </row>
    <row r="75" spans="2:91" ht="20.100000000000001" customHeight="1" x14ac:dyDescent="0.25">
      <c r="B75" s="557" t="s">
        <v>720</v>
      </c>
      <c r="C75" s="547" t="s">
        <v>718</v>
      </c>
      <c r="D75" s="547" t="s">
        <v>37</v>
      </c>
      <c r="E75" s="547" t="s">
        <v>37</v>
      </c>
      <c r="F75" s="554" t="s">
        <v>662</v>
      </c>
      <c r="G75" s="554" t="s">
        <v>662</v>
      </c>
      <c r="H75" s="547" t="s">
        <v>717</v>
      </c>
      <c r="I75" s="555" t="s">
        <v>358</v>
      </c>
      <c r="J75" s="18"/>
      <c r="K75" s="18"/>
      <c r="L75" s="18"/>
      <c r="M75" s="18"/>
      <c r="N75" s="18"/>
      <c r="O75" s="18"/>
      <c r="P75" s="18"/>
      <c r="Q75" s="18"/>
      <c r="R75" s="18"/>
      <c r="S75" s="13"/>
      <c r="T75" s="470"/>
      <c r="U75" s="470"/>
      <c r="V75" s="470"/>
      <c r="W75" s="470"/>
      <c r="X75" s="470"/>
      <c r="Y75" s="470"/>
      <c r="Z75" s="470"/>
      <c r="AA75" s="470"/>
      <c r="AB75" s="470"/>
      <c r="AC75" s="470"/>
      <c r="AD75" s="470"/>
      <c r="AE75" s="470"/>
      <c r="AF75" s="470"/>
      <c r="AG75" s="389"/>
      <c r="AH75" s="389"/>
      <c r="AI75" s="477"/>
      <c r="AJ75" s="477"/>
      <c r="BJ75" s="1506" t="s">
        <v>134</v>
      </c>
      <c r="BK75" s="1506"/>
      <c r="BL75" s="1506"/>
      <c r="BM75" s="1506"/>
      <c r="BN75" s="1506"/>
      <c r="BO75" s="1506"/>
      <c r="BP75" s="1506"/>
      <c r="BQ75" s="1506"/>
      <c r="BR75" s="1506"/>
      <c r="BS75" s="1506"/>
      <c r="BT75" s="1506"/>
      <c r="BU75" s="1506"/>
      <c r="BX75" s="497"/>
      <c r="BY75" s="497"/>
      <c r="BZ75" s="497"/>
      <c r="CA75" s="497"/>
      <c r="CB75" s="497"/>
      <c r="CC75" s="497"/>
      <c r="CD75" s="497"/>
      <c r="CE75" s="497"/>
      <c r="CF75" s="497"/>
      <c r="CG75" s="497"/>
      <c r="CH75" s="497"/>
      <c r="CI75" s="497"/>
      <c r="CJ75" s="497"/>
      <c r="CK75" s="497"/>
      <c r="CL75" s="497"/>
      <c r="CM75" s="497"/>
    </row>
    <row r="76" spans="2:91" ht="20.100000000000001" customHeight="1" x14ac:dyDescent="0.25">
      <c r="B76" s="556">
        <v>0.95833333333333337</v>
      </c>
      <c r="C76" s="517">
        <v>0.125</v>
      </c>
      <c r="D76" s="517">
        <v>0.29166666666666669</v>
      </c>
      <c r="E76" s="517">
        <v>0.29166666666666669</v>
      </c>
      <c r="F76" s="517" t="s">
        <v>885</v>
      </c>
      <c r="G76" s="517" t="s">
        <v>885</v>
      </c>
      <c r="H76" s="517">
        <v>0.25</v>
      </c>
      <c r="I76" s="517" t="s">
        <v>885</v>
      </c>
      <c r="J76" s="18"/>
      <c r="K76" s="18"/>
      <c r="L76" s="18"/>
      <c r="M76" s="18"/>
      <c r="N76" s="18"/>
      <c r="O76" s="18"/>
      <c r="P76" s="18"/>
      <c r="Q76" s="18"/>
      <c r="R76" s="18"/>
      <c r="S76" s="13"/>
      <c r="T76" s="470"/>
      <c r="U76" s="470"/>
      <c r="V76" s="470"/>
      <c r="W76" s="470"/>
      <c r="X76" s="470"/>
      <c r="Y76" s="470"/>
      <c r="Z76" s="470"/>
      <c r="AA76" s="470"/>
      <c r="AB76" s="470"/>
      <c r="AC76" s="470"/>
      <c r="AD76" s="470"/>
      <c r="AE76" s="470"/>
      <c r="AF76" s="470"/>
      <c r="AG76" s="389"/>
      <c r="AH76" s="389"/>
      <c r="AI76" s="477"/>
      <c r="AJ76" s="477"/>
      <c r="BJ76" s="1506"/>
      <c r="BK76" s="1506"/>
      <c r="BL76" s="1506"/>
      <c r="BM76" s="1506"/>
      <c r="BN76" s="1506"/>
      <c r="BO76" s="1506"/>
      <c r="BP76" s="1506"/>
      <c r="BQ76" s="1506"/>
      <c r="BR76" s="1506"/>
      <c r="BS76" s="1506"/>
      <c r="BT76" s="1506"/>
      <c r="BU76" s="1506"/>
      <c r="BX76" s="497"/>
      <c r="BY76" s="497"/>
      <c r="BZ76" s="497"/>
      <c r="CA76" s="497"/>
      <c r="CB76" s="497"/>
      <c r="CC76" s="497"/>
      <c r="CD76" s="497"/>
      <c r="CE76" s="497"/>
      <c r="CF76" s="497"/>
      <c r="CG76" s="497"/>
      <c r="CH76" s="497"/>
      <c r="CI76" s="497"/>
      <c r="CJ76" s="497"/>
      <c r="CK76" s="497"/>
      <c r="CL76" s="497"/>
      <c r="CM76" s="497"/>
    </row>
    <row r="77" spans="2:91" ht="20.100000000000001" customHeight="1" x14ac:dyDescent="0.25">
      <c r="B77" s="719" t="s">
        <v>891</v>
      </c>
      <c r="C77" s="733" t="s">
        <v>890</v>
      </c>
      <c r="D77" s="18"/>
      <c r="E77" s="18"/>
      <c r="F77" s="18"/>
      <c r="G77" s="18"/>
      <c r="H77" s="18"/>
      <c r="I77" s="18"/>
      <c r="J77" s="18"/>
      <c r="K77" s="18"/>
      <c r="L77" s="18"/>
      <c r="M77" s="18"/>
      <c r="N77" s="18"/>
      <c r="O77" s="18"/>
      <c r="P77" s="18"/>
      <c r="Q77" s="18"/>
      <c r="R77" s="18"/>
      <c r="S77" s="13"/>
      <c r="T77" s="470"/>
      <c r="U77" s="470"/>
      <c r="V77" s="470"/>
      <c r="W77" s="470"/>
      <c r="X77" s="470"/>
      <c r="Y77" s="470"/>
      <c r="Z77" s="470"/>
      <c r="AA77" s="470"/>
      <c r="AB77" s="470"/>
      <c r="AC77" s="470"/>
      <c r="AD77" s="470"/>
      <c r="AE77" s="470"/>
      <c r="AF77" s="470"/>
      <c r="AG77" s="389"/>
      <c r="AH77" s="389"/>
      <c r="AI77" s="477"/>
      <c r="AJ77" s="477"/>
      <c r="BJ77" s="1506"/>
      <c r="BK77" s="1506"/>
      <c r="BL77" s="1506"/>
      <c r="BM77" s="1506"/>
      <c r="BN77" s="1506"/>
      <c r="BO77" s="1506"/>
      <c r="BP77" s="1506"/>
      <c r="BQ77" s="1506"/>
      <c r="BR77" s="1506"/>
      <c r="BS77" s="1506"/>
      <c r="BT77" s="1506"/>
      <c r="BU77" s="1506"/>
      <c r="BX77" s="497"/>
      <c r="BY77" s="497"/>
      <c r="BZ77" s="497"/>
      <c r="CA77" s="497"/>
      <c r="CB77" s="497"/>
      <c r="CC77" s="497"/>
      <c r="CD77" s="497"/>
      <c r="CE77" s="497"/>
      <c r="CF77" s="497"/>
      <c r="CG77" s="497"/>
      <c r="CH77" s="497"/>
      <c r="CI77" s="497"/>
      <c r="CJ77" s="497"/>
      <c r="CK77" s="497"/>
      <c r="CL77" s="497"/>
      <c r="CM77" s="497"/>
    </row>
    <row r="78" spans="2:91" ht="20.100000000000001" customHeight="1" x14ac:dyDescent="0.25">
      <c r="B78" s="18"/>
      <c r="C78" s="616"/>
      <c r="D78" s="18"/>
      <c r="E78" s="18"/>
      <c r="F78" s="18"/>
      <c r="G78" s="18"/>
      <c r="H78" s="18"/>
      <c r="I78" s="18"/>
      <c r="J78" s="18"/>
      <c r="K78" s="18"/>
      <c r="L78" s="18"/>
      <c r="M78" s="18"/>
      <c r="N78" s="18"/>
      <c r="O78" s="18"/>
      <c r="P78" s="18"/>
      <c r="Q78" s="18"/>
      <c r="R78" s="18"/>
      <c r="S78" s="13"/>
      <c r="T78" s="470"/>
      <c r="U78" s="470"/>
      <c r="V78" s="470"/>
      <c r="W78" s="470"/>
      <c r="X78" s="470"/>
      <c r="Y78" s="470"/>
      <c r="Z78" s="470"/>
      <c r="AA78" s="470"/>
      <c r="AB78" s="470"/>
      <c r="AC78" s="470"/>
      <c r="AD78" s="470"/>
      <c r="AE78" s="470"/>
      <c r="AF78" s="470"/>
      <c r="AG78" s="389"/>
      <c r="AH78" s="389"/>
      <c r="AI78" s="477"/>
      <c r="AJ78" s="477"/>
      <c r="BJ78" s="1253"/>
      <c r="BK78" s="1253"/>
      <c r="BL78" s="1253"/>
      <c r="BM78" s="1253"/>
      <c r="BN78" s="1253"/>
      <c r="BO78" s="1253"/>
      <c r="BP78" s="1253"/>
      <c r="BQ78" s="1253"/>
      <c r="BR78" s="1253"/>
      <c r="BS78" s="1253"/>
      <c r="BT78" s="1253"/>
      <c r="BU78" s="1253"/>
      <c r="BX78" s="497"/>
      <c r="BY78" s="497"/>
      <c r="BZ78" s="497"/>
      <c r="CA78" s="497"/>
      <c r="CB78" s="497"/>
      <c r="CC78" s="497"/>
      <c r="CD78" s="497"/>
      <c r="CE78" s="497"/>
      <c r="CF78" s="497"/>
      <c r="CG78" s="497"/>
      <c r="CH78" s="497"/>
      <c r="CI78" s="497"/>
      <c r="CJ78" s="497"/>
      <c r="CK78" s="497"/>
      <c r="CL78" s="497"/>
      <c r="CM78" s="497"/>
    </row>
    <row r="79" spans="2:91" ht="20.100000000000001" customHeight="1" x14ac:dyDescent="0.35">
      <c r="B79" s="18"/>
      <c r="C79" s="582" t="s">
        <v>1034</v>
      </c>
      <c r="D79" s="18"/>
      <c r="E79" s="18"/>
      <c r="F79" s="18"/>
      <c r="G79" s="18"/>
      <c r="H79" s="18"/>
      <c r="I79" s="18"/>
      <c r="J79" s="18"/>
      <c r="K79" s="18"/>
      <c r="L79" s="18"/>
      <c r="M79" s="18"/>
      <c r="N79" s="18"/>
      <c r="O79" s="18"/>
      <c r="P79" s="18"/>
      <c r="Q79" s="18"/>
      <c r="R79" s="18"/>
      <c r="S79" s="13"/>
      <c r="T79" s="470"/>
      <c r="U79" s="470"/>
      <c r="V79" s="470"/>
      <c r="W79" s="470"/>
      <c r="X79" s="470"/>
      <c r="Y79" s="470"/>
      <c r="Z79" s="470"/>
      <c r="AA79" s="470"/>
      <c r="AB79" s="470"/>
      <c r="AC79" s="470"/>
      <c r="AD79" s="470"/>
      <c r="AE79" s="470"/>
      <c r="AF79" s="470"/>
      <c r="AG79" s="389"/>
      <c r="AH79" s="389"/>
      <c r="AI79" s="477"/>
      <c r="AJ79" s="477"/>
      <c r="BJ79" s="547" t="s">
        <v>105</v>
      </c>
      <c r="BK79" s="50">
        <v>0.3125</v>
      </c>
      <c r="BL79" s="50">
        <v>0.47916666666666669</v>
      </c>
      <c r="BM79" s="51">
        <v>0</v>
      </c>
      <c r="BN79" s="589">
        <f>IF(BL79-BK79=0,0,(BL79-BK79)-(BM79*TIMEVALUE("00:30")))</f>
        <v>0.16666666666666669</v>
      </c>
      <c r="BO79" s="587" t="s">
        <v>77</v>
      </c>
      <c r="BP79" s="63"/>
      <c r="BQ79" s="63"/>
      <c r="BR79" s="63"/>
      <c r="BS79" s="63"/>
      <c r="BT79" s="63"/>
      <c r="BU79" s="63"/>
      <c r="BX79" s="497"/>
      <c r="BY79" s="497"/>
      <c r="BZ79" s="497"/>
      <c r="CA79" s="497"/>
      <c r="CB79" s="497"/>
      <c r="CC79" s="497"/>
      <c r="CD79" s="497"/>
      <c r="CE79" s="497"/>
      <c r="CF79" s="497"/>
      <c r="CG79" s="497"/>
      <c r="CH79" s="497"/>
      <c r="CI79" s="497"/>
      <c r="CJ79" s="497"/>
      <c r="CK79" s="497"/>
      <c r="CL79" s="497"/>
      <c r="CM79" s="497"/>
    </row>
    <row r="80" spans="2:91" ht="20.100000000000001" customHeight="1" x14ac:dyDescent="0.25">
      <c r="B80" s="18"/>
      <c r="C80" s="616"/>
      <c r="D80" s="18"/>
      <c r="E80" s="18"/>
      <c r="F80" s="18"/>
      <c r="G80" s="18"/>
      <c r="H80" s="18"/>
      <c r="I80" s="18"/>
      <c r="J80" s="18"/>
      <c r="K80" s="18"/>
      <c r="L80" s="18"/>
      <c r="M80" s="18"/>
      <c r="N80" s="18"/>
      <c r="O80" s="18"/>
      <c r="P80" s="18"/>
      <c r="Q80" s="18"/>
      <c r="R80" s="18"/>
      <c r="S80" s="13"/>
      <c r="T80" s="470"/>
      <c r="U80" s="470"/>
      <c r="V80" s="470"/>
      <c r="W80" s="470"/>
      <c r="X80" s="470"/>
      <c r="Y80" s="470"/>
      <c r="Z80" s="470"/>
      <c r="AA80" s="470"/>
      <c r="AB80" s="470"/>
      <c r="AC80" s="470"/>
      <c r="AD80" s="470"/>
      <c r="AE80" s="470"/>
      <c r="AF80" s="470"/>
      <c r="AG80" s="389"/>
      <c r="AH80" s="389"/>
      <c r="AI80" s="477"/>
      <c r="AJ80" s="477"/>
      <c r="BJ80" s="1253"/>
      <c r="BK80" s="1253"/>
      <c r="BL80" s="1253"/>
      <c r="BM80" s="1253"/>
      <c r="BN80" s="1253"/>
      <c r="BO80" s="1253"/>
      <c r="BP80" s="1253"/>
      <c r="BQ80" s="1253"/>
      <c r="BR80" s="1253"/>
      <c r="BS80" s="1253"/>
      <c r="BT80" s="1253"/>
      <c r="BU80" s="1253"/>
      <c r="BX80" s="497"/>
      <c r="BY80" s="497"/>
      <c r="BZ80" s="497"/>
      <c r="CA80" s="497"/>
      <c r="CB80" s="497"/>
      <c r="CC80" s="497"/>
      <c r="CD80" s="497"/>
      <c r="CE80" s="497"/>
      <c r="CF80" s="497"/>
      <c r="CG80" s="497"/>
      <c r="CH80" s="497"/>
      <c r="CI80" s="497"/>
      <c r="CJ80" s="497"/>
      <c r="CK80" s="497"/>
      <c r="CL80" s="497"/>
      <c r="CM80" s="497"/>
    </row>
    <row r="81" spans="2:91" ht="20.100000000000001" customHeight="1" x14ac:dyDescent="0.35">
      <c r="B81" s="18"/>
      <c r="C81" s="616"/>
      <c r="D81" s="584" t="s">
        <v>781</v>
      </c>
      <c r="E81" s="18"/>
      <c r="F81" s="18"/>
      <c r="G81" s="18"/>
      <c r="H81" s="18"/>
      <c r="I81" s="18"/>
      <c r="J81" s="18"/>
      <c r="K81" s="18"/>
      <c r="L81" s="18"/>
      <c r="M81" s="18"/>
      <c r="N81" s="18"/>
      <c r="O81" s="18"/>
      <c r="P81" s="18"/>
      <c r="Q81" s="732" t="s">
        <v>886</v>
      </c>
      <c r="R81" s="731" t="s">
        <v>37</v>
      </c>
      <c r="S81" s="731" t="s">
        <v>887</v>
      </c>
      <c r="T81" s="731" t="s">
        <v>109</v>
      </c>
      <c r="U81" s="731" t="s">
        <v>888</v>
      </c>
      <c r="V81" s="731" t="s">
        <v>110</v>
      </c>
      <c r="W81" s="470"/>
      <c r="X81" s="470"/>
      <c r="Y81" s="470"/>
      <c r="Z81" s="470"/>
      <c r="AA81" s="470"/>
      <c r="AB81" s="470"/>
      <c r="AC81" s="470"/>
      <c r="AD81" s="470"/>
      <c r="AE81" s="470"/>
      <c r="AF81" s="470"/>
      <c r="AG81" s="389"/>
      <c r="AH81" s="389"/>
      <c r="AI81" s="477"/>
      <c r="AJ81" s="477"/>
      <c r="BI81" s="58"/>
      <c r="BJ81" s="1527" t="s">
        <v>558</v>
      </c>
      <c r="BK81" s="1527"/>
      <c r="BL81" s="1527"/>
      <c r="BM81" s="1527"/>
      <c r="BN81" s="1527"/>
      <c r="BO81" s="1527"/>
      <c r="BP81" s="1527"/>
      <c r="BQ81" s="1527"/>
      <c r="BR81" s="56"/>
      <c r="BS81" s="56"/>
      <c r="BT81" s="56"/>
      <c r="BU81" s="56"/>
      <c r="BX81" s="497"/>
      <c r="BY81" s="497"/>
      <c r="BZ81" s="497"/>
      <c r="CA81" s="497"/>
      <c r="CB81" s="497"/>
      <c r="CC81" s="497"/>
      <c r="CD81" s="497"/>
      <c r="CE81" s="497"/>
      <c r="CF81" s="497"/>
      <c r="CG81" s="497"/>
      <c r="CH81" s="497"/>
      <c r="CI81" s="497"/>
      <c r="CJ81" s="497"/>
      <c r="CK81" s="497"/>
      <c r="CL81" s="497"/>
      <c r="CM81" s="497"/>
    </row>
    <row r="82" spans="2:91" ht="20.100000000000001" customHeight="1" thickBot="1" x14ac:dyDescent="0.4">
      <c r="B82" s="18"/>
      <c r="C82" s="616"/>
      <c r="D82" s="18"/>
      <c r="E82" s="18"/>
      <c r="F82" s="18"/>
      <c r="G82" s="18"/>
      <c r="H82" s="18"/>
      <c r="I82" s="18"/>
      <c r="J82" s="18"/>
      <c r="K82" s="18"/>
      <c r="L82" s="18"/>
      <c r="M82" s="18"/>
      <c r="N82" s="18"/>
      <c r="O82" s="18"/>
      <c r="P82" s="18"/>
      <c r="Q82" s="18"/>
      <c r="R82" s="18"/>
      <c r="S82" s="13"/>
      <c r="T82" s="470"/>
      <c r="U82" s="470"/>
      <c r="V82" s="470"/>
      <c r="W82" s="470"/>
      <c r="X82" s="470"/>
      <c r="Y82" s="470"/>
      <c r="Z82" s="470"/>
      <c r="AA82" s="470"/>
      <c r="AB82" s="470"/>
      <c r="AC82" s="470"/>
      <c r="AD82" s="470"/>
      <c r="AE82" s="470"/>
      <c r="AF82" s="470"/>
      <c r="AG82" s="389"/>
      <c r="AH82" s="389"/>
      <c r="AI82" s="477"/>
      <c r="AJ82" s="477"/>
      <c r="BJ82" s="958" t="s">
        <v>921</v>
      </c>
      <c r="BK82" s="56"/>
      <c r="BL82" s="56"/>
      <c r="BM82" s="56"/>
      <c r="BN82" s="56"/>
      <c r="BO82" s="56"/>
      <c r="BP82" s="56"/>
      <c r="BQ82" s="56"/>
      <c r="BR82" s="56"/>
      <c r="BS82" s="56"/>
      <c r="BT82" s="56"/>
      <c r="BU82" s="56"/>
      <c r="BX82" s="497"/>
      <c r="BY82" s="497"/>
      <c r="BZ82" s="497"/>
      <c r="CA82" s="497"/>
      <c r="CB82" s="497"/>
      <c r="CC82" s="497"/>
      <c r="CD82" s="497"/>
      <c r="CE82" s="497"/>
      <c r="CF82" s="497"/>
      <c r="CG82" s="497"/>
      <c r="CH82" s="497"/>
      <c r="CI82" s="497"/>
      <c r="CJ82" s="497"/>
      <c r="CK82" s="497"/>
      <c r="CL82" s="497"/>
      <c r="CM82" s="497"/>
    </row>
    <row r="83" spans="2:91" ht="19.5" customHeight="1" x14ac:dyDescent="0.25">
      <c r="B83" s="734" t="s">
        <v>894</v>
      </c>
      <c r="C83" s="616"/>
      <c r="D83" s="18"/>
      <c r="E83" s="18"/>
      <c r="F83" s="18"/>
      <c r="G83" s="18"/>
      <c r="H83" s="18"/>
      <c r="I83" s="18"/>
      <c r="J83" s="18"/>
      <c r="K83" s="18"/>
      <c r="L83" s="18"/>
      <c r="M83" s="18"/>
      <c r="N83" s="18"/>
      <c r="O83" s="18"/>
      <c r="P83" s="18"/>
      <c r="Q83" s="18"/>
      <c r="R83" s="18"/>
      <c r="S83" s="13"/>
      <c r="T83" s="470"/>
      <c r="U83" s="470"/>
      <c r="V83" s="470"/>
      <c r="W83" s="470"/>
      <c r="X83" s="470"/>
      <c r="Y83" s="470"/>
      <c r="Z83" s="470"/>
      <c r="AA83" s="470"/>
      <c r="AB83" s="470"/>
      <c r="AC83" s="470"/>
      <c r="AD83" s="470"/>
      <c r="AE83" s="470"/>
      <c r="AF83" s="470"/>
      <c r="AG83" s="389"/>
      <c r="AH83" s="389"/>
      <c r="AI83" s="477"/>
      <c r="AJ83" s="477"/>
      <c r="BJ83" s="955" t="s">
        <v>922</v>
      </c>
      <c r="BK83" s="956"/>
      <c r="BL83" s="956"/>
      <c r="BM83" s="956"/>
      <c r="BN83" s="956"/>
      <c r="BO83" s="956"/>
      <c r="BP83" s="956"/>
      <c r="BQ83" s="957"/>
      <c r="BR83" s="56"/>
      <c r="BS83" s="56"/>
      <c r="BT83" s="56"/>
      <c r="BU83" s="56"/>
      <c r="BV83" s="58"/>
      <c r="BW83" s="58"/>
      <c r="BX83" s="497"/>
      <c r="BY83" s="497"/>
      <c r="BZ83" s="497"/>
      <c r="CA83" s="497"/>
      <c r="CB83" s="497"/>
      <c r="CC83" s="497"/>
      <c r="CD83" s="497"/>
      <c r="CE83" s="497"/>
      <c r="CF83" s="497"/>
      <c r="CG83" s="497"/>
      <c r="CH83" s="497"/>
      <c r="CI83" s="497"/>
      <c r="CJ83" s="497"/>
      <c r="CK83" s="497"/>
      <c r="CL83" s="497"/>
      <c r="CM83" s="497"/>
    </row>
    <row r="84" spans="2:91" ht="20.100000000000001" customHeight="1" x14ac:dyDescent="0.35">
      <c r="B84" s="18"/>
      <c r="C84" s="616"/>
      <c r="D84" s="18"/>
      <c r="E84" s="18"/>
      <c r="F84" s="18"/>
      <c r="G84" s="18"/>
      <c r="H84" s="18"/>
      <c r="I84" s="18"/>
      <c r="J84" s="18"/>
      <c r="K84" s="18"/>
      <c r="L84" s="18"/>
      <c r="M84" s="18"/>
      <c r="N84" s="18"/>
      <c r="O84" s="18"/>
      <c r="P84" s="18"/>
      <c r="Q84" s="18"/>
      <c r="R84" s="18"/>
      <c r="S84" s="13"/>
      <c r="T84" s="470"/>
      <c r="U84" s="470"/>
      <c r="V84" s="470"/>
      <c r="W84" s="470"/>
      <c r="X84" s="470"/>
      <c r="Y84" s="470"/>
      <c r="Z84" s="470"/>
      <c r="AA84" s="470"/>
      <c r="AB84" s="470"/>
      <c r="AC84" s="470"/>
      <c r="AD84" s="470"/>
      <c r="AE84" s="470"/>
      <c r="AF84" s="470"/>
      <c r="AG84" s="389"/>
      <c r="AH84" s="389"/>
      <c r="AI84" s="477"/>
      <c r="AJ84" s="477"/>
      <c r="BJ84" s="950" t="s">
        <v>560</v>
      </c>
      <c r="BK84" s="951" t="s">
        <v>561</v>
      </c>
      <c r="BL84" s="951" t="s">
        <v>562</v>
      </c>
      <c r="BM84" s="952"/>
      <c r="BN84" s="951" t="s">
        <v>563</v>
      </c>
      <c r="BO84" s="951" t="s">
        <v>564</v>
      </c>
      <c r="BP84" s="953" t="s">
        <v>565</v>
      </c>
      <c r="BQ84" s="954" t="s">
        <v>566</v>
      </c>
      <c r="BR84" s="56"/>
      <c r="BS84" s="56"/>
      <c r="BT84" s="56"/>
      <c r="BU84" s="56"/>
      <c r="BX84" s="497"/>
      <c r="BY84" s="497"/>
      <c r="BZ84" s="497"/>
      <c r="CA84" s="497"/>
      <c r="CB84" s="497"/>
      <c r="CC84" s="497"/>
      <c r="CD84" s="497"/>
      <c r="CE84" s="497"/>
      <c r="CF84" s="497"/>
      <c r="CG84" s="497"/>
      <c r="CH84" s="497"/>
      <c r="CI84" s="497"/>
      <c r="CJ84" s="497"/>
      <c r="CK84" s="497"/>
      <c r="CL84" s="497"/>
      <c r="CM84" s="497"/>
    </row>
    <row r="85" spans="2:91" ht="20.100000000000001" customHeight="1" x14ac:dyDescent="0.4">
      <c r="B85" s="18"/>
      <c r="C85" s="616"/>
      <c r="D85" s="18"/>
      <c r="E85" s="18"/>
      <c r="F85" s="18"/>
      <c r="G85" s="18"/>
      <c r="H85" s="18"/>
      <c r="I85" s="18"/>
      <c r="J85" s="18"/>
      <c r="K85" s="18"/>
      <c r="L85" s="18"/>
      <c r="M85" s="18"/>
      <c r="N85" s="18"/>
      <c r="O85" s="18"/>
      <c r="P85" s="18"/>
      <c r="Q85" s="18"/>
      <c r="R85" s="18"/>
      <c r="S85" s="13"/>
      <c r="T85" s="470"/>
      <c r="U85" s="470"/>
      <c r="V85" s="470"/>
      <c r="W85" s="470"/>
      <c r="X85" s="470"/>
      <c r="Y85" s="470"/>
      <c r="Z85" s="470"/>
      <c r="AA85" s="470"/>
      <c r="AB85" s="470"/>
      <c r="AC85" s="470"/>
      <c r="AD85" s="470"/>
      <c r="AE85" s="470"/>
      <c r="AF85" s="470"/>
      <c r="AG85" s="389"/>
      <c r="AH85" s="389"/>
      <c r="AI85" s="477"/>
      <c r="AJ85" s="477"/>
      <c r="BJ85" s="934" t="s">
        <v>916</v>
      </c>
      <c r="BK85" s="935" t="s">
        <v>916</v>
      </c>
      <c r="BL85" s="935" t="s">
        <v>916</v>
      </c>
      <c r="BM85" s="936"/>
      <c r="BN85" s="935" t="s">
        <v>916</v>
      </c>
      <c r="BO85" s="935" t="s">
        <v>916</v>
      </c>
      <c r="BP85" s="937"/>
      <c r="BQ85" s="938"/>
      <c r="BR85" s="56"/>
      <c r="BS85" s="56"/>
      <c r="BT85" s="56"/>
      <c r="BU85" s="56"/>
      <c r="BX85" s="497"/>
      <c r="BY85" s="497"/>
      <c r="BZ85" s="497"/>
      <c r="CA85" s="497"/>
      <c r="CB85" s="497"/>
      <c r="CC85" s="497"/>
      <c r="CD85" s="497"/>
      <c r="CE85" s="497"/>
      <c r="CF85" s="497"/>
      <c r="CG85" s="497"/>
      <c r="CH85" s="497"/>
      <c r="CI85" s="497"/>
      <c r="CJ85" s="497"/>
      <c r="CK85" s="497"/>
      <c r="CL85" s="497"/>
      <c r="CM85" s="497"/>
    </row>
    <row r="86" spans="2:91" ht="20.100000000000001" customHeight="1" x14ac:dyDescent="0.4">
      <c r="B86" s="18"/>
      <c r="C86" s="616"/>
      <c r="D86" s="18"/>
      <c r="E86" s="18"/>
      <c r="F86" s="18"/>
      <c r="G86" s="18"/>
      <c r="H86" s="18"/>
      <c r="I86" s="18"/>
      <c r="J86" s="18"/>
      <c r="K86" s="18"/>
      <c r="L86" s="18"/>
      <c r="M86" s="18"/>
      <c r="N86" s="18"/>
      <c r="O86" s="18"/>
      <c r="P86" s="18"/>
      <c r="Q86" s="18"/>
      <c r="R86" s="739"/>
      <c r="S86" s="13"/>
      <c r="T86" s="470"/>
      <c r="U86" s="470"/>
      <c r="V86" s="470"/>
      <c r="W86" s="470"/>
      <c r="X86" s="470"/>
      <c r="Y86" s="470"/>
      <c r="Z86" s="470"/>
      <c r="AA86" s="470"/>
      <c r="AB86" s="470"/>
      <c r="AC86" s="470"/>
      <c r="AD86" s="470"/>
      <c r="AE86" s="470"/>
      <c r="AF86" s="470"/>
      <c r="AG86" s="389"/>
      <c r="AH86" s="389"/>
      <c r="AI86" s="477"/>
      <c r="AJ86" s="477"/>
      <c r="BJ86" s="934" t="s">
        <v>917</v>
      </c>
      <c r="BK86" s="935" t="s">
        <v>917</v>
      </c>
      <c r="BL86" s="935" t="s">
        <v>917</v>
      </c>
      <c r="BM86" s="936"/>
      <c r="BN86" s="935" t="s">
        <v>917</v>
      </c>
      <c r="BO86" s="935" t="s">
        <v>917</v>
      </c>
      <c r="BP86" s="935" t="s">
        <v>917</v>
      </c>
      <c r="BQ86" s="939" t="s">
        <v>917</v>
      </c>
      <c r="BR86" s="56"/>
      <c r="BS86" s="56"/>
      <c r="BT86" s="56"/>
      <c r="BU86" s="56"/>
      <c r="BX86" s="497"/>
      <c r="BY86" s="497"/>
      <c r="BZ86" s="497"/>
      <c r="CA86" s="497"/>
      <c r="CB86" s="497"/>
      <c r="CC86" s="497"/>
      <c r="CD86" s="497"/>
      <c r="CE86" s="497"/>
      <c r="CF86" s="497"/>
      <c r="CG86" s="497"/>
      <c r="CH86" s="497"/>
      <c r="CI86" s="497"/>
      <c r="CJ86" s="497"/>
      <c r="CK86" s="497"/>
      <c r="CL86" s="497"/>
      <c r="CM86" s="497"/>
    </row>
    <row r="87" spans="2:91" ht="20.100000000000001" customHeight="1" x14ac:dyDescent="0.3">
      <c r="B87" s="18"/>
      <c r="C87" s="616"/>
      <c r="D87" s="18"/>
      <c r="E87" s="18"/>
      <c r="F87" s="18"/>
      <c r="G87" s="18"/>
      <c r="H87" s="18"/>
      <c r="I87" s="18"/>
      <c r="J87" s="18"/>
      <c r="K87" s="18"/>
      <c r="L87" s="18"/>
      <c r="M87" s="18"/>
      <c r="N87" s="18"/>
      <c r="O87" s="18"/>
      <c r="P87" s="18"/>
      <c r="Q87" s="738" t="s">
        <v>904</v>
      </c>
      <c r="R87" s="740" t="s">
        <v>901</v>
      </c>
      <c r="S87" s="13"/>
      <c r="T87" s="470"/>
      <c r="U87" s="470"/>
      <c r="V87" s="470"/>
      <c r="W87" s="470"/>
      <c r="X87" s="470"/>
      <c r="Y87" s="470"/>
      <c r="Z87" s="470"/>
      <c r="AA87" s="470"/>
      <c r="AB87" s="470"/>
      <c r="AC87" s="470"/>
      <c r="AD87" s="470"/>
      <c r="AE87" s="470"/>
      <c r="AF87" s="470"/>
      <c r="AG87" s="389"/>
      <c r="AH87" s="389"/>
      <c r="AI87" s="477"/>
      <c r="AJ87" s="477"/>
      <c r="BJ87" s="940"/>
      <c r="BK87" s="941" t="s">
        <v>918</v>
      </c>
      <c r="BL87" s="937"/>
      <c r="BM87" s="937"/>
      <c r="BN87" s="937"/>
      <c r="BO87" s="937"/>
      <c r="BP87" s="941" t="s">
        <v>918</v>
      </c>
      <c r="BQ87" s="942" t="s">
        <v>918</v>
      </c>
      <c r="BR87" s="56"/>
      <c r="BS87" s="56"/>
      <c r="BT87" s="56"/>
      <c r="BU87" s="56"/>
      <c r="BX87" s="497"/>
      <c r="BY87" s="497"/>
      <c r="BZ87" s="497"/>
      <c r="CA87" s="497"/>
      <c r="CB87" s="497"/>
      <c r="CC87" s="497"/>
      <c r="CD87" s="497"/>
      <c r="CE87" s="497"/>
      <c r="CF87" s="497"/>
      <c r="CG87" s="497"/>
      <c r="CH87" s="497"/>
      <c r="CI87" s="497"/>
      <c r="CJ87" s="497"/>
      <c r="CK87" s="497"/>
      <c r="CL87" s="497"/>
      <c r="CM87" s="497"/>
    </row>
    <row r="88" spans="2:91" ht="20.100000000000001" customHeight="1" x14ac:dyDescent="0.4">
      <c r="B88" s="18"/>
      <c r="C88" s="616"/>
      <c r="D88" s="18"/>
      <c r="E88" s="18"/>
      <c r="F88" s="18"/>
      <c r="G88" s="18"/>
      <c r="H88" s="18"/>
      <c r="I88" s="18"/>
      <c r="J88" s="18"/>
      <c r="K88" s="18"/>
      <c r="L88" s="18"/>
      <c r="M88" s="18"/>
      <c r="N88" s="18"/>
      <c r="O88" s="18"/>
      <c r="P88" s="18"/>
      <c r="Q88" s="18"/>
      <c r="R88" s="741" t="s">
        <v>900</v>
      </c>
      <c r="S88" s="13"/>
      <c r="T88" s="470"/>
      <c r="U88" s="470"/>
      <c r="V88" s="470"/>
      <c r="W88" s="470"/>
      <c r="X88" s="470"/>
      <c r="Y88" s="470"/>
      <c r="Z88" s="470"/>
      <c r="AA88" s="470"/>
      <c r="AB88" s="470"/>
      <c r="AC88" s="470"/>
      <c r="AD88" s="470"/>
      <c r="AE88" s="470"/>
      <c r="AF88" s="470"/>
      <c r="AG88" s="389"/>
      <c r="AH88" s="389"/>
      <c r="AI88" s="477"/>
      <c r="AJ88" s="477"/>
      <c r="BJ88" s="943" t="s">
        <v>919</v>
      </c>
      <c r="BK88" s="941" t="s">
        <v>919</v>
      </c>
      <c r="BL88" s="944" t="s">
        <v>919</v>
      </c>
      <c r="BM88" s="945"/>
      <c r="BN88" s="941" t="s">
        <v>919</v>
      </c>
      <c r="BO88" s="941" t="s">
        <v>919</v>
      </c>
      <c r="BP88" s="941" t="s">
        <v>919</v>
      </c>
      <c r="BQ88" s="942" t="s">
        <v>919</v>
      </c>
      <c r="BR88" s="56"/>
      <c r="BS88" s="56"/>
      <c r="BT88" s="56"/>
      <c r="BU88" s="56"/>
      <c r="BX88" s="497"/>
      <c r="BY88" s="497"/>
      <c r="BZ88" s="497"/>
      <c r="CA88" s="497"/>
      <c r="CB88" s="497"/>
      <c r="CC88" s="497"/>
      <c r="CD88" s="497"/>
      <c r="CE88" s="497"/>
      <c r="CF88" s="497"/>
      <c r="CG88" s="497"/>
      <c r="CH88" s="497"/>
      <c r="CI88" s="497"/>
      <c r="CJ88" s="497"/>
      <c r="CK88" s="497"/>
      <c r="CL88" s="497"/>
      <c r="CM88" s="497"/>
    </row>
    <row r="89" spans="2:91" ht="20.100000000000001" customHeight="1" x14ac:dyDescent="0.3">
      <c r="B89" s="18"/>
      <c r="C89" s="616"/>
      <c r="D89" s="18"/>
      <c r="E89" s="18"/>
      <c r="F89" s="18"/>
      <c r="G89" s="18"/>
      <c r="H89" s="18"/>
      <c r="I89" s="18"/>
      <c r="J89" s="18"/>
      <c r="K89" s="18"/>
      <c r="L89" s="18"/>
      <c r="M89" s="18"/>
      <c r="N89" s="18"/>
      <c r="O89" s="18"/>
      <c r="P89" s="18"/>
      <c r="Q89" s="18"/>
      <c r="R89" s="739"/>
      <c r="S89" s="13"/>
      <c r="T89" s="470"/>
      <c r="U89" s="470"/>
      <c r="V89" s="470"/>
      <c r="W89" s="470"/>
      <c r="X89" s="470"/>
      <c r="Y89" s="470"/>
      <c r="Z89" s="470"/>
      <c r="AA89" s="470"/>
      <c r="AB89" s="470"/>
      <c r="AC89" s="470"/>
      <c r="AD89" s="470"/>
      <c r="AE89" s="470"/>
      <c r="AF89" s="470"/>
      <c r="AG89" s="389"/>
      <c r="AH89" s="389"/>
      <c r="AI89" s="477"/>
      <c r="AJ89" s="477"/>
      <c r="BJ89" s="940"/>
      <c r="BK89" s="937"/>
      <c r="BL89" s="935" t="s">
        <v>920</v>
      </c>
      <c r="BM89" s="937"/>
      <c r="BN89" s="937"/>
      <c r="BO89" s="935" t="s">
        <v>920</v>
      </c>
      <c r="BP89" s="937"/>
      <c r="BQ89" s="938"/>
      <c r="BR89" s="960"/>
      <c r="BS89" s="56"/>
      <c r="BT89" s="56"/>
      <c r="BU89" s="56"/>
      <c r="BX89" s="497"/>
      <c r="BY89" s="497"/>
      <c r="BZ89" s="497"/>
      <c r="CA89" s="497"/>
      <c r="CB89" s="497"/>
      <c r="CC89" s="497"/>
      <c r="CD89" s="497"/>
      <c r="CE89" s="497"/>
      <c r="CF89" s="497"/>
      <c r="CG89" s="497"/>
      <c r="CH89" s="497"/>
      <c r="CI89" s="497"/>
      <c r="CJ89" s="497"/>
      <c r="CK89" s="497"/>
      <c r="CL89" s="497"/>
      <c r="CM89" s="497"/>
    </row>
    <row r="90" spans="2:91" ht="20.100000000000001" customHeight="1" x14ac:dyDescent="0.4">
      <c r="B90" s="18"/>
      <c r="C90" s="616"/>
      <c r="D90" s="18"/>
      <c r="E90" s="18"/>
      <c r="F90" s="18"/>
      <c r="G90" s="18"/>
      <c r="H90" s="18"/>
      <c r="I90" s="18"/>
      <c r="J90" s="18"/>
      <c r="K90" s="18"/>
      <c r="L90" s="18"/>
      <c r="M90" s="18"/>
      <c r="N90" s="18"/>
      <c r="O90" s="18"/>
      <c r="P90" s="18"/>
      <c r="Q90" s="738" t="s">
        <v>904</v>
      </c>
      <c r="R90" s="740" t="s">
        <v>902</v>
      </c>
      <c r="S90" s="13"/>
      <c r="T90" s="470"/>
      <c r="U90" s="470"/>
      <c r="V90" s="470"/>
      <c r="W90" s="470"/>
      <c r="X90" s="470"/>
      <c r="Y90" s="470"/>
      <c r="Z90" s="470"/>
      <c r="AA90" s="470"/>
      <c r="AB90" s="470"/>
      <c r="AC90" s="470"/>
      <c r="AD90" s="470"/>
      <c r="AE90" s="470"/>
      <c r="AF90" s="470"/>
      <c r="AG90" s="389"/>
      <c r="AH90" s="389"/>
      <c r="AI90" s="477"/>
      <c r="AJ90" s="477"/>
      <c r="BJ90" s="946" t="s">
        <v>557</v>
      </c>
      <c r="BK90" s="937"/>
      <c r="BL90" s="947" t="s">
        <v>557</v>
      </c>
      <c r="BM90" s="945"/>
      <c r="BN90" s="947" t="s">
        <v>557</v>
      </c>
      <c r="BO90" s="947" t="s">
        <v>557</v>
      </c>
      <c r="BP90" s="937"/>
      <c r="BQ90" s="938"/>
      <c r="BR90" s="56"/>
      <c r="BS90" s="56"/>
      <c r="BT90" s="56"/>
      <c r="BU90" s="56"/>
      <c r="BX90" s="497"/>
      <c r="BY90" s="497"/>
      <c r="BZ90" s="497"/>
      <c r="CA90" s="497"/>
      <c r="CB90" s="497"/>
      <c r="CC90" s="497"/>
      <c r="CD90" s="497"/>
      <c r="CE90" s="497"/>
      <c r="CF90" s="497"/>
      <c r="CG90" s="497"/>
      <c r="CH90" s="497"/>
      <c r="CI90" s="497"/>
      <c r="CJ90" s="497"/>
      <c r="CK90" s="497"/>
      <c r="CL90" s="497"/>
      <c r="CM90" s="497"/>
    </row>
    <row r="91" spans="2:91" ht="20.100000000000001" customHeight="1" thickBot="1" x14ac:dyDescent="0.35">
      <c r="B91" s="18"/>
      <c r="C91" s="616"/>
      <c r="D91" s="18"/>
      <c r="E91" s="18"/>
      <c r="F91" s="18"/>
      <c r="G91" s="18"/>
      <c r="H91" s="18"/>
      <c r="I91" s="18"/>
      <c r="J91" s="18"/>
      <c r="K91" s="18"/>
      <c r="L91" s="18"/>
      <c r="M91" s="18"/>
      <c r="N91" s="18"/>
      <c r="O91" s="18"/>
      <c r="P91" s="18"/>
      <c r="Q91" s="18"/>
      <c r="R91" s="741" t="s">
        <v>903</v>
      </c>
      <c r="S91" s="13"/>
      <c r="T91" s="470"/>
      <c r="U91" s="470"/>
      <c r="V91" s="470"/>
      <c r="W91" s="470"/>
      <c r="X91" s="470"/>
      <c r="Y91" s="470"/>
      <c r="Z91" s="470"/>
      <c r="AA91" s="470"/>
      <c r="AB91" s="470"/>
      <c r="AC91" s="470"/>
      <c r="AD91" s="470"/>
      <c r="AE91" s="470"/>
      <c r="AF91" s="470"/>
      <c r="AG91" s="389"/>
      <c r="AH91" s="389"/>
      <c r="AI91" s="477"/>
      <c r="AJ91" s="477"/>
      <c r="BJ91" s="932" t="s">
        <v>913</v>
      </c>
      <c r="BK91" s="963"/>
      <c r="BL91" s="933" t="s">
        <v>913</v>
      </c>
      <c r="BM91" s="933"/>
      <c r="BN91" s="933" t="s">
        <v>913</v>
      </c>
      <c r="BO91" s="933" t="s">
        <v>913</v>
      </c>
      <c r="BP91" s="948"/>
      <c r="BQ91" s="949"/>
      <c r="BR91" s="960"/>
      <c r="BS91" s="56"/>
      <c r="BT91" s="56"/>
      <c r="BU91" s="56"/>
      <c r="BX91" s="497"/>
      <c r="BY91" s="497"/>
      <c r="BZ91" s="497"/>
      <c r="CA91" s="497"/>
      <c r="CB91" s="497"/>
      <c r="CC91" s="497"/>
      <c r="CD91" s="497"/>
      <c r="CE91" s="497"/>
      <c r="CF91" s="497"/>
      <c r="CG91" s="497"/>
      <c r="CH91" s="497"/>
      <c r="CI91" s="497"/>
      <c r="CJ91" s="497"/>
      <c r="CK91" s="497"/>
      <c r="CL91" s="497"/>
      <c r="CM91" s="497"/>
    </row>
    <row r="92" spans="2:91" ht="20.100000000000001" customHeight="1" x14ac:dyDescent="0.25">
      <c r="B92" s="18"/>
      <c r="C92" s="616"/>
      <c r="D92" s="18"/>
      <c r="E92" s="18"/>
      <c r="F92" s="18"/>
      <c r="G92" s="18"/>
      <c r="H92" s="18"/>
      <c r="I92" s="18"/>
      <c r="J92" s="18"/>
      <c r="K92" s="18"/>
      <c r="L92" s="18"/>
      <c r="M92" s="18"/>
      <c r="N92" s="18"/>
      <c r="O92" s="18"/>
      <c r="P92" s="18"/>
      <c r="Q92" s="18"/>
      <c r="R92" s="18"/>
      <c r="S92" s="13"/>
      <c r="T92" s="470"/>
      <c r="U92" s="470"/>
      <c r="V92" s="470"/>
      <c r="W92" s="470"/>
      <c r="X92" s="470"/>
      <c r="Y92" s="470"/>
      <c r="Z92" s="470"/>
      <c r="AA92" s="470"/>
      <c r="AB92" s="470"/>
      <c r="AC92" s="470"/>
      <c r="AD92" s="470"/>
      <c r="AE92" s="470"/>
      <c r="AF92" s="470"/>
      <c r="AG92" s="389"/>
      <c r="AH92" s="389"/>
      <c r="AI92" s="477"/>
      <c r="AJ92" s="477"/>
      <c r="BJ92" s="959" t="s">
        <v>567</v>
      </c>
      <c r="BK92" s="959" t="s">
        <v>568</v>
      </c>
      <c r="BL92" s="959" t="s">
        <v>569</v>
      </c>
      <c r="BM92" s="56"/>
      <c r="BN92" s="959" t="s">
        <v>556</v>
      </c>
      <c r="BO92" s="959" t="s">
        <v>570</v>
      </c>
      <c r="BP92" s="959" t="s">
        <v>571</v>
      </c>
      <c r="BQ92" s="959" t="s">
        <v>572</v>
      </c>
      <c r="BR92" s="56"/>
      <c r="BS92" s="56"/>
      <c r="BT92" s="56"/>
      <c r="BU92" s="56"/>
      <c r="BX92" s="497"/>
      <c r="BY92" s="497"/>
      <c r="BZ92" s="497"/>
      <c r="CA92" s="497"/>
      <c r="CB92" s="497"/>
      <c r="CC92" s="497"/>
      <c r="CD92" s="497"/>
      <c r="CE92" s="497"/>
      <c r="CF92" s="497"/>
      <c r="CG92" s="497"/>
      <c r="CH92" s="497"/>
      <c r="CI92" s="497"/>
      <c r="CJ92" s="497"/>
      <c r="CK92" s="497"/>
      <c r="CL92" s="497"/>
      <c r="CM92" s="497"/>
    </row>
    <row r="93" spans="2:91" ht="20.100000000000001" customHeight="1" x14ac:dyDescent="0.25">
      <c r="B93" s="18"/>
      <c r="C93" s="616"/>
      <c r="D93" s="18"/>
      <c r="E93" s="18"/>
      <c r="F93" s="18"/>
      <c r="G93" s="18"/>
      <c r="H93" s="18"/>
      <c r="I93" s="18"/>
      <c r="J93" s="18"/>
      <c r="K93" s="18"/>
      <c r="L93" s="18"/>
      <c r="M93" s="18"/>
      <c r="N93" s="18"/>
      <c r="O93" s="18"/>
      <c r="P93" s="18"/>
      <c r="Q93" s="18"/>
      <c r="R93" s="18"/>
      <c r="S93" s="13"/>
      <c r="T93" s="470"/>
      <c r="U93" s="470"/>
      <c r="V93" s="470"/>
      <c r="W93" s="470"/>
      <c r="X93" s="470"/>
      <c r="Y93" s="470"/>
      <c r="Z93" s="470"/>
      <c r="AA93" s="470"/>
      <c r="AB93" s="470"/>
      <c r="AC93" s="470"/>
      <c r="AD93" s="470"/>
      <c r="AE93" s="470"/>
      <c r="AF93" s="470"/>
      <c r="AG93" s="389"/>
      <c r="AH93" s="389"/>
      <c r="AI93" s="477"/>
      <c r="AJ93" s="477"/>
      <c r="BJ93" s="273">
        <v>1.2708333333333333</v>
      </c>
      <c r="BK93" s="273">
        <v>1.1041666666666667</v>
      </c>
      <c r="BL93" s="273">
        <v>1.3958333333333333</v>
      </c>
      <c r="BN93" s="273">
        <v>1.2708333333333333</v>
      </c>
      <c r="BO93" s="273">
        <v>1.3541666666666667</v>
      </c>
      <c r="BP93" s="273">
        <v>0.875</v>
      </c>
      <c r="BQ93" s="273">
        <v>0.875</v>
      </c>
      <c r="BR93" s="56"/>
      <c r="BS93" s="56"/>
      <c r="BT93" s="56"/>
      <c r="BU93" s="56"/>
      <c r="BX93" s="497"/>
      <c r="BY93" s="497"/>
      <c r="BZ93" s="497"/>
      <c r="CA93" s="497"/>
      <c r="CB93" s="497"/>
      <c r="CC93" s="497"/>
      <c r="CD93" s="497"/>
      <c r="CE93" s="497"/>
      <c r="CF93" s="497"/>
      <c r="CG93" s="497"/>
      <c r="CH93" s="497"/>
      <c r="CI93" s="497"/>
      <c r="CJ93" s="497"/>
      <c r="CK93" s="497"/>
      <c r="CL93" s="497"/>
      <c r="CM93" s="497"/>
    </row>
    <row r="94" spans="2:91" ht="20.100000000000001" customHeight="1" x14ac:dyDescent="0.25">
      <c r="B94" s="18"/>
      <c r="C94" s="616"/>
      <c r="D94" s="18"/>
      <c r="E94" s="18"/>
      <c r="F94" s="18"/>
      <c r="G94" s="18"/>
      <c r="H94" s="18"/>
      <c r="I94" s="18"/>
      <c r="J94" s="18"/>
      <c r="K94" s="18"/>
      <c r="L94" s="18"/>
      <c r="M94" s="18"/>
      <c r="N94" s="18"/>
      <c r="O94" s="18"/>
      <c r="P94" s="18"/>
      <c r="Q94" s="18"/>
      <c r="R94" s="18"/>
      <c r="S94" s="13"/>
      <c r="T94" s="470"/>
      <c r="U94" s="470"/>
      <c r="V94" s="470"/>
      <c r="W94" s="470"/>
      <c r="X94" s="470"/>
      <c r="Y94" s="470"/>
      <c r="Z94" s="470"/>
      <c r="AA94" s="470"/>
      <c r="AB94" s="470"/>
      <c r="AC94" s="470"/>
      <c r="AD94" s="470"/>
      <c r="AE94" s="470"/>
      <c r="AF94" s="470"/>
      <c r="AG94" s="389"/>
      <c r="AH94" s="389"/>
      <c r="AI94" s="477"/>
      <c r="AJ94" s="477"/>
      <c r="BJ94" s="960"/>
      <c r="BK94" s="960"/>
      <c r="BL94" s="960"/>
      <c r="BM94" s="960"/>
      <c r="BN94" s="960"/>
      <c r="BO94" s="960"/>
      <c r="BP94" s="961" t="s">
        <v>555</v>
      </c>
      <c r="BQ94" s="961"/>
      <c r="BR94" s="56"/>
      <c r="BS94" s="56"/>
      <c r="BT94" s="56"/>
      <c r="BU94" s="56"/>
      <c r="BX94" s="497"/>
      <c r="BY94" s="497"/>
      <c r="BZ94" s="497"/>
      <c r="CA94" s="497"/>
      <c r="CB94" s="497"/>
      <c r="CC94" s="497"/>
      <c r="CD94" s="497"/>
      <c r="CE94" s="497"/>
      <c r="CF94" s="497"/>
      <c r="CG94" s="497"/>
      <c r="CH94" s="497"/>
      <c r="CI94" s="497"/>
      <c r="CJ94" s="497"/>
      <c r="CK94" s="497"/>
      <c r="CL94" s="497"/>
      <c r="CM94" s="497"/>
    </row>
    <row r="95" spans="2:91" ht="20.100000000000001" customHeight="1" x14ac:dyDescent="0.25">
      <c r="B95" s="18"/>
      <c r="C95" s="616"/>
      <c r="D95" s="18"/>
      <c r="E95" s="18"/>
      <c r="F95" s="18"/>
      <c r="G95" s="18"/>
      <c r="H95" s="18"/>
      <c r="I95" s="18"/>
      <c r="J95" s="18"/>
      <c r="K95" s="18"/>
      <c r="L95" s="18"/>
      <c r="M95" s="18"/>
      <c r="N95" s="18"/>
      <c r="O95" s="18"/>
      <c r="P95" s="18"/>
      <c r="Q95" s="18"/>
      <c r="R95" s="18"/>
      <c r="S95" s="13"/>
      <c r="T95" s="470"/>
      <c r="U95" s="470"/>
      <c r="V95" s="470"/>
      <c r="W95" s="470"/>
      <c r="X95" s="470"/>
      <c r="Y95" s="470"/>
      <c r="Z95" s="470"/>
      <c r="AA95" s="470"/>
      <c r="AB95" s="470"/>
      <c r="AC95" s="470"/>
      <c r="AD95" s="470"/>
      <c r="AE95" s="470"/>
      <c r="AF95" s="470"/>
      <c r="AG95" s="389"/>
      <c r="AH95" s="389"/>
      <c r="AI95" s="477"/>
      <c r="AJ95" s="477"/>
      <c r="BJ95" s="960"/>
      <c r="BK95" s="56"/>
      <c r="BL95" s="56"/>
      <c r="BM95" s="56"/>
      <c r="BN95" s="56"/>
      <c r="BO95" s="962" t="s">
        <v>573</v>
      </c>
      <c r="BP95" s="271">
        <f>SUM(BJ93:BQ93)</f>
        <v>8.1458333333333321</v>
      </c>
      <c r="BQ95" s="272"/>
      <c r="BR95" s="960"/>
      <c r="BS95" s="56"/>
      <c r="BT95" s="56"/>
      <c r="BU95" s="56"/>
      <c r="BX95" s="497"/>
      <c r="BY95" s="497"/>
      <c r="BZ95" s="497"/>
      <c r="CA95" s="497"/>
      <c r="CB95" s="497"/>
      <c r="CC95" s="497"/>
      <c r="CD95" s="497"/>
      <c r="CE95" s="497"/>
      <c r="CF95" s="497"/>
      <c r="CG95" s="497"/>
      <c r="CH95" s="497"/>
      <c r="CI95" s="497"/>
      <c r="CJ95" s="497"/>
      <c r="CK95" s="497"/>
      <c r="CL95" s="497"/>
      <c r="CM95" s="497"/>
    </row>
    <row r="96" spans="2:91" ht="20.100000000000001" customHeight="1" x14ac:dyDescent="0.25">
      <c r="B96" s="18"/>
      <c r="C96" s="616"/>
      <c r="D96" s="18"/>
      <c r="E96" s="18"/>
      <c r="F96" s="18"/>
      <c r="G96" s="18"/>
      <c r="H96" s="18"/>
      <c r="I96" s="18"/>
      <c r="J96" s="18"/>
      <c r="K96" s="18"/>
      <c r="L96" s="18"/>
      <c r="M96" s="18"/>
      <c r="N96" s="18"/>
      <c r="O96" s="18"/>
      <c r="P96" s="18"/>
      <c r="Q96" s="18"/>
      <c r="R96" s="18"/>
      <c r="S96" s="13"/>
      <c r="T96" s="470"/>
      <c r="U96" s="470"/>
      <c r="V96" s="470"/>
      <c r="W96" s="470"/>
      <c r="X96" s="470"/>
      <c r="Y96" s="470"/>
      <c r="Z96" s="470"/>
      <c r="AA96" s="470"/>
      <c r="AB96" s="470"/>
      <c r="AC96" s="470"/>
      <c r="AD96" s="470"/>
      <c r="AE96" s="470"/>
      <c r="AF96" s="470"/>
      <c r="AG96" s="389"/>
      <c r="AH96" s="389"/>
      <c r="AI96" s="477"/>
      <c r="AJ96" s="477"/>
      <c r="BJ96" s="56"/>
      <c r="BK96" s="56"/>
      <c r="BL96" s="56"/>
      <c r="BM96" s="56"/>
      <c r="BN96" s="56"/>
      <c r="BO96" s="56"/>
      <c r="BP96" s="56"/>
      <c r="BQ96" s="56"/>
      <c r="BR96" s="960"/>
      <c r="BS96" s="960"/>
      <c r="BT96" s="960"/>
      <c r="BU96" s="56"/>
      <c r="BX96" s="497"/>
      <c r="BY96" s="497"/>
      <c r="BZ96" s="497"/>
      <c r="CA96" s="497"/>
      <c r="CB96" s="497"/>
      <c r="CC96" s="497"/>
      <c r="CD96" s="497"/>
      <c r="CE96" s="497"/>
      <c r="CF96" s="497"/>
      <c r="CG96" s="497"/>
      <c r="CH96" s="497"/>
      <c r="CI96" s="497"/>
      <c r="CJ96" s="497"/>
      <c r="CK96" s="497"/>
      <c r="CL96" s="497"/>
      <c r="CM96" s="497"/>
    </row>
    <row r="97" spans="1:92" ht="20.100000000000001" customHeight="1" x14ac:dyDescent="0.35">
      <c r="B97" s="18"/>
      <c r="C97" s="584" t="s">
        <v>895</v>
      </c>
      <c r="D97" s="18"/>
      <c r="E97" s="18"/>
      <c r="F97" s="18"/>
      <c r="G97" s="18"/>
      <c r="H97" s="18"/>
      <c r="I97" s="18"/>
      <c r="J97" s="18"/>
      <c r="K97" s="18"/>
      <c r="L97" s="18"/>
      <c r="M97" s="18"/>
      <c r="N97" s="18"/>
      <c r="O97" s="18"/>
      <c r="P97" s="18"/>
      <c r="Q97" s="18"/>
      <c r="R97" s="18"/>
      <c r="S97" s="13"/>
      <c r="T97" s="470"/>
      <c r="U97" s="470"/>
      <c r="V97" s="470"/>
      <c r="W97" s="470"/>
      <c r="X97" s="470"/>
      <c r="Y97" s="470"/>
      <c r="Z97" s="470"/>
      <c r="AA97" s="470"/>
      <c r="AB97" s="470"/>
      <c r="AC97" s="470"/>
      <c r="AD97" s="470"/>
      <c r="AE97" s="470"/>
      <c r="AF97" s="470"/>
      <c r="AG97" s="389"/>
      <c r="AH97" s="389"/>
      <c r="AI97" s="477"/>
      <c r="AJ97" s="477"/>
      <c r="BJ97" s="56"/>
      <c r="BK97" s="56"/>
      <c r="BL97" s="56"/>
      <c r="BM97" s="56"/>
      <c r="BN97" s="56"/>
      <c r="BO97" s="56"/>
      <c r="BP97" s="56"/>
      <c r="BQ97" s="56"/>
      <c r="BR97" s="960"/>
      <c r="BS97" s="960"/>
      <c r="BT97" s="960"/>
      <c r="BU97" s="960"/>
      <c r="BV97" s="98"/>
      <c r="BW97" s="58"/>
      <c r="BX97" s="497"/>
      <c r="BY97" s="497"/>
      <c r="BZ97" s="497"/>
      <c r="CA97" s="497"/>
      <c r="CB97" s="497"/>
      <c r="CC97" s="497"/>
      <c r="CD97" s="497"/>
      <c r="CE97" s="497"/>
      <c r="CF97" s="497"/>
      <c r="CG97" s="497"/>
      <c r="CH97" s="497"/>
      <c r="CI97" s="497"/>
      <c r="CJ97" s="497"/>
      <c r="CK97" s="497"/>
      <c r="CL97" s="497"/>
      <c r="CM97" s="497"/>
    </row>
    <row r="98" spans="1:92" ht="20.100000000000001" customHeight="1" thickBot="1" x14ac:dyDescent="0.4">
      <c r="B98" s="732" t="s">
        <v>886</v>
      </c>
      <c r="C98" s="731" t="s">
        <v>37</v>
      </c>
      <c r="D98" s="731" t="s">
        <v>887</v>
      </c>
      <c r="E98" s="731" t="s">
        <v>109</v>
      </c>
      <c r="F98" s="731" t="s">
        <v>888</v>
      </c>
      <c r="G98" s="731" t="s">
        <v>110</v>
      </c>
      <c r="H98" s="18"/>
      <c r="I98" s="18"/>
      <c r="J98" s="18"/>
      <c r="K98" s="18"/>
      <c r="L98" s="18"/>
      <c r="M98" s="18"/>
      <c r="N98" s="18"/>
      <c r="O98" s="18"/>
      <c r="P98" s="18"/>
      <c r="Q98" s="18"/>
      <c r="R98" s="18"/>
      <c r="S98" s="13"/>
      <c r="T98" s="470"/>
      <c r="U98" s="470"/>
      <c r="V98" s="470"/>
      <c r="W98" s="470"/>
      <c r="X98" s="470"/>
      <c r="Y98" s="470"/>
      <c r="Z98" s="470"/>
      <c r="AA98" s="470"/>
      <c r="AB98" s="470"/>
      <c r="AC98" s="470"/>
      <c r="AD98" s="470"/>
      <c r="AE98" s="470"/>
      <c r="AF98" s="470"/>
      <c r="AG98" s="389"/>
      <c r="AH98" s="389"/>
      <c r="AI98" s="477"/>
      <c r="AJ98" s="477"/>
      <c r="BJ98" s="56"/>
      <c r="BK98" s="56"/>
      <c r="BL98" s="56"/>
      <c r="BM98" s="56"/>
      <c r="BN98" s="56"/>
      <c r="BO98" s="56"/>
      <c r="BP98" s="56"/>
      <c r="BQ98" s="56"/>
      <c r="BR98" s="960"/>
      <c r="BS98" s="960"/>
      <c r="BT98" s="960"/>
      <c r="BU98" s="960"/>
      <c r="BV98" s="98"/>
      <c r="BW98" s="58"/>
      <c r="BX98" s="497"/>
      <c r="BY98" s="497"/>
      <c r="BZ98" s="497"/>
      <c r="CA98" s="497"/>
      <c r="CB98" s="497"/>
      <c r="CC98" s="497"/>
      <c r="CD98" s="497"/>
      <c r="CE98" s="497"/>
      <c r="CF98" s="497"/>
      <c r="CG98" s="497"/>
      <c r="CH98" s="497"/>
      <c r="CI98" s="497"/>
      <c r="CJ98" s="497"/>
      <c r="CK98" s="497"/>
      <c r="CL98" s="497"/>
      <c r="CM98" s="497"/>
    </row>
    <row r="99" spans="1:92" ht="20.100000000000001" customHeight="1" x14ac:dyDescent="0.25">
      <c r="B99" s="502">
        <v>43831</v>
      </c>
      <c r="C99" s="548" t="s">
        <v>37</v>
      </c>
      <c r="D99" s="548" t="s">
        <v>715</v>
      </c>
      <c r="E99" s="548" t="s">
        <v>716</v>
      </c>
      <c r="F99" s="548" t="s">
        <v>717</v>
      </c>
      <c r="G99" s="548" t="s">
        <v>718</v>
      </c>
      <c r="H99" s="543" t="s">
        <v>7</v>
      </c>
      <c r="I99" s="544" t="s">
        <v>373</v>
      </c>
      <c r="J99" s="503" t="s">
        <v>364</v>
      </c>
      <c r="K99" s="546" t="s">
        <v>360</v>
      </c>
      <c r="L99" s="578" t="s">
        <v>356</v>
      </c>
      <c r="M99" s="504" t="s">
        <v>8</v>
      </c>
      <c r="N99" s="573" t="s">
        <v>662</v>
      </c>
      <c r="O99" s="576" t="s">
        <v>358</v>
      </c>
      <c r="P99" s="18"/>
      <c r="Q99" s="18"/>
      <c r="R99" s="18"/>
      <c r="S99" s="13"/>
      <c r="T99" s="470"/>
      <c r="U99" s="470"/>
      <c r="V99" s="470"/>
      <c r="W99" s="470"/>
      <c r="X99" s="470"/>
      <c r="Y99" s="470"/>
      <c r="Z99" s="470"/>
      <c r="AA99" s="470"/>
      <c r="AB99" s="470"/>
      <c r="AC99" s="470"/>
      <c r="AD99" s="470"/>
      <c r="AE99" s="470"/>
      <c r="AF99" s="470"/>
      <c r="AG99" s="389"/>
      <c r="AH99" s="389"/>
      <c r="AI99" s="477"/>
      <c r="AJ99" s="477"/>
      <c r="BJ99" s="56"/>
      <c r="BK99" s="56"/>
      <c r="BL99" s="56"/>
      <c r="BM99" s="56"/>
      <c r="BN99" s="56"/>
      <c r="BO99" s="56"/>
      <c r="BP99" s="56"/>
      <c r="BQ99" s="56"/>
      <c r="BR99" s="960"/>
      <c r="BS99" s="960"/>
      <c r="BT99" s="960"/>
      <c r="BU99" s="960"/>
      <c r="BV99" s="98"/>
      <c r="BW99" s="58"/>
      <c r="BX99" s="497"/>
      <c r="BY99" s="497"/>
      <c r="BZ99" s="497"/>
      <c r="CA99" s="497"/>
      <c r="CB99" s="497"/>
      <c r="CC99" s="497"/>
      <c r="CD99" s="497"/>
      <c r="CE99" s="497"/>
      <c r="CF99" s="497"/>
      <c r="CG99" s="497"/>
      <c r="CH99" s="497"/>
      <c r="CI99" s="497"/>
      <c r="CJ99" s="497"/>
      <c r="CK99" s="497"/>
      <c r="CL99" s="497"/>
      <c r="CM99" s="497"/>
    </row>
    <row r="100" spans="1:92" ht="20.100000000000001" customHeight="1" x14ac:dyDescent="0.25">
      <c r="B100" s="507"/>
      <c r="C100" s="508">
        <v>0.29166666666666669</v>
      </c>
      <c r="D100" s="508">
        <v>0.3125</v>
      </c>
      <c r="E100" s="508">
        <v>0.33333333333333331</v>
      </c>
      <c r="F100" s="508">
        <v>0.25</v>
      </c>
      <c r="G100" s="508">
        <v>0.125</v>
      </c>
      <c r="N100" s="574"/>
      <c r="O100" s="509"/>
      <c r="P100" s="18"/>
      <c r="Q100" s="18"/>
      <c r="R100" s="18"/>
      <c r="S100" s="13"/>
      <c r="T100" s="470"/>
      <c r="U100" s="470"/>
      <c r="V100" s="470"/>
      <c r="W100" s="470"/>
      <c r="X100" s="470"/>
      <c r="Y100" s="470"/>
      <c r="Z100" s="470"/>
      <c r="AA100" s="470"/>
      <c r="AB100" s="470"/>
      <c r="AC100" s="470"/>
      <c r="AD100" s="470"/>
      <c r="AE100" s="470"/>
      <c r="AF100" s="470"/>
      <c r="AG100" s="389"/>
      <c r="AH100" s="389"/>
      <c r="AI100" s="477"/>
      <c r="AJ100" s="477"/>
      <c r="BJ100" s="56"/>
      <c r="BK100" s="56"/>
      <c r="BL100" s="56"/>
      <c r="BM100" s="56"/>
      <c r="BN100" s="56"/>
      <c r="BO100" s="56"/>
      <c r="BP100" s="56"/>
      <c r="BQ100" s="56"/>
      <c r="BR100" s="960"/>
      <c r="BS100" s="960"/>
      <c r="BT100" s="960"/>
      <c r="BU100" s="960"/>
      <c r="BV100" s="98"/>
      <c r="BW100" s="58"/>
      <c r="BX100" s="497"/>
      <c r="BY100" s="497"/>
      <c r="BZ100" s="497"/>
      <c r="CA100" s="497"/>
      <c r="CB100" s="497"/>
      <c r="CC100" s="497"/>
      <c r="CD100" s="497"/>
      <c r="CE100" s="497"/>
      <c r="CF100" s="497"/>
      <c r="CG100" s="497"/>
      <c r="CH100" s="497"/>
      <c r="CI100" s="497"/>
      <c r="CJ100" s="497"/>
      <c r="CK100" s="497"/>
      <c r="CL100" s="497"/>
      <c r="CM100" s="497"/>
    </row>
    <row r="101" spans="1:92" ht="20.100000000000001" customHeight="1" x14ac:dyDescent="0.25">
      <c r="B101" s="559" t="s">
        <v>720</v>
      </c>
      <c r="C101" s="513">
        <v>2</v>
      </c>
      <c r="D101" s="513">
        <v>0</v>
      </c>
      <c r="E101" s="513">
        <v>0</v>
      </c>
      <c r="F101" s="513">
        <v>1</v>
      </c>
      <c r="G101" s="513">
        <v>1</v>
      </c>
      <c r="H101" s="542">
        <v>0</v>
      </c>
      <c r="I101" s="545">
        <v>0</v>
      </c>
      <c r="J101" s="514">
        <v>0</v>
      </c>
      <c r="K101" s="515">
        <v>0</v>
      </c>
      <c r="L101" s="579">
        <v>0</v>
      </c>
      <c r="M101" s="516">
        <v>0</v>
      </c>
      <c r="N101" s="575">
        <v>2</v>
      </c>
      <c r="O101" s="577">
        <v>1</v>
      </c>
      <c r="P101" s="18"/>
      <c r="Q101" s="18"/>
      <c r="R101" s="18"/>
      <c r="S101" s="13"/>
      <c r="T101" s="470"/>
      <c r="U101" s="470"/>
      <c r="V101" s="470"/>
      <c r="W101" s="470"/>
      <c r="X101" s="470"/>
      <c r="Y101" s="470"/>
      <c r="Z101" s="470"/>
      <c r="AA101" s="470"/>
      <c r="AB101" s="470"/>
      <c r="AC101" s="470"/>
      <c r="AD101" s="470"/>
      <c r="AE101" s="470"/>
      <c r="AF101" s="470"/>
      <c r="AG101" s="389"/>
      <c r="AH101" s="389"/>
      <c r="AI101" s="477"/>
      <c r="AJ101" s="477"/>
      <c r="BJ101" s="56"/>
      <c r="BK101" s="56"/>
      <c r="BL101" s="56"/>
      <c r="BM101" s="56"/>
      <c r="BN101" s="56"/>
      <c r="BO101" s="56"/>
      <c r="BP101" s="56"/>
      <c r="BQ101" s="960"/>
      <c r="BR101" s="960"/>
      <c r="BS101" s="960"/>
      <c r="BT101" s="960"/>
      <c r="BU101" s="960"/>
      <c r="BV101" s="98"/>
      <c r="BW101" s="58"/>
      <c r="BX101" s="497"/>
      <c r="BY101" s="497"/>
      <c r="BZ101" s="497"/>
      <c r="CA101" s="497"/>
      <c r="CB101" s="497"/>
      <c r="CC101" s="497"/>
      <c r="CD101" s="497"/>
      <c r="CE101" s="497"/>
      <c r="CF101" s="497"/>
      <c r="CG101" s="497"/>
      <c r="CH101" s="497"/>
      <c r="CI101" s="497"/>
      <c r="CJ101" s="497"/>
      <c r="CK101" s="497"/>
      <c r="CL101" s="497"/>
      <c r="CM101" s="497"/>
    </row>
    <row r="102" spans="1:92" ht="20.100000000000001" customHeight="1" x14ac:dyDescent="0.25">
      <c r="B102" s="558">
        <v>0.95833333333333337</v>
      </c>
      <c r="C102" s="725" t="s">
        <v>896</v>
      </c>
      <c r="D102" s="18"/>
      <c r="E102" s="18"/>
      <c r="F102" s="18"/>
      <c r="G102" s="18"/>
      <c r="H102" s="18"/>
      <c r="I102" s="18"/>
      <c r="J102" s="18"/>
      <c r="K102" s="18"/>
      <c r="L102" s="18"/>
      <c r="M102" s="18"/>
      <c r="N102" s="18"/>
      <c r="O102" s="18"/>
      <c r="P102" s="18"/>
      <c r="Q102" s="18"/>
      <c r="R102" s="18"/>
      <c r="S102" s="13"/>
      <c r="T102" s="470"/>
      <c r="U102" s="470"/>
      <c r="V102" s="470"/>
      <c r="W102" s="470"/>
      <c r="X102" s="470"/>
      <c r="Y102" s="470"/>
      <c r="Z102" s="470"/>
      <c r="AA102" s="470"/>
      <c r="AB102" s="470"/>
      <c r="AC102" s="470"/>
      <c r="AD102" s="470"/>
      <c r="AE102" s="470"/>
      <c r="AF102" s="470"/>
      <c r="AG102" s="389"/>
      <c r="AH102" s="389"/>
      <c r="AI102" s="477"/>
      <c r="AJ102" s="477"/>
      <c r="BJ102" s="56"/>
      <c r="BK102" s="56"/>
      <c r="BL102" s="56"/>
      <c r="BM102" s="56"/>
      <c r="BN102" s="56"/>
      <c r="BO102" s="56"/>
      <c r="BP102" s="56"/>
      <c r="BQ102" s="960"/>
      <c r="BR102" s="960"/>
      <c r="BS102" s="960"/>
      <c r="BT102" s="960"/>
      <c r="BU102" s="960"/>
      <c r="BV102" s="98"/>
      <c r="BW102" s="58"/>
      <c r="BX102" s="497"/>
      <c r="BY102" s="497"/>
      <c r="BZ102" s="497"/>
      <c r="CA102" s="497"/>
      <c r="CB102" s="497"/>
      <c r="CC102" s="497"/>
      <c r="CD102" s="497"/>
      <c r="CE102" s="497"/>
      <c r="CF102" s="497"/>
      <c r="CG102" s="497"/>
      <c r="CH102" s="497"/>
      <c r="CI102" s="497"/>
      <c r="CJ102" s="497"/>
      <c r="CK102" s="497"/>
      <c r="CL102" s="497"/>
      <c r="CM102" s="497"/>
    </row>
    <row r="103" spans="1:92" ht="20.100000000000001" customHeight="1" x14ac:dyDescent="0.25">
      <c r="B103" s="18"/>
      <c r="C103" s="616"/>
      <c r="D103" s="18"/>
      <c r="E103" s="18"/>
      <c r="F103" s="18"/>
      <c r="G103" s="18"/>
      <c r="H103" s="18"/>
      <c r="I103" s="18"/>
      <c r="J103" s="18"/>
      <c r="K103" s="18"/>
      <c r="L103" s="18"/>
      <c r="M103" s="18"/>
      <c r="N103" s="18"/>
      <c r="O103" s="18"/>
      <c r="P103" s="18"/>
      <c r="Q103" s="18"/>
      <c r="R103" s="18"/>
      <c r="S103" s="13"/>
      <c r="T103" s="470"/>
      <c r="U103" s="470"/>
      <c r="V103" s="470"/>
      <c r="W103" s="470"/>
      <c r="X103" s="470"/>
      <c r="Y103" s="470"/>
      <c r="Z103" s="470"/>
      <c r="AA103" s="470"/>
      <c r="AB103" s="470"/>
      <c r="AC103" s="470"/>
      <c r="AD103" s="470"/>
      <c r="AE103" s="470"/>
      <c r="AF103" s="470"/>
      <c r="AG103" s="389"/>
      <c r="AH103" s="389"/>
      <c r="AI103" s="477"/>
      <c r="AJ103" s="477"/>
      <c r="BJ103" s="56"/>
      <c r="BK103" s="56"/>
      <c r="BL103" s="56"/>
      <c r="BM103" s="56"/>
      <c r="BN103" s="56"/>
      <c r="BO103" s="56"/>
      <c r="BP103" s="56"/>
      <c r="BQ103" s="56"/>
      <c r="BR103" s="56"/>
      <c r="BS103" s="56"/>
      <c r="BT103" s="56"/>
      <c r="BU103" s="56"/>
      <c r="BW103" s="58"/>
      <c r="BX103" s="497"/>
      <c r="BY103" s="497"/>
      <c r="BZ103" s="497"/>
      <c r="CA103" s="497"/>
      <c r="CB103" s="497"/>
      <c r="CC103" s="497"/>
      <c r="CD103" s="497"/>
      <c r="CE103" s="497"/>
      <c r="CF103" s="497"/>
      <c r="CG103" s="497"/>
      <c r="CH103" s="497"/>
      <c r="CI103" s="497"/>
      <c r="CJ103" s="497"/>
      <c r="CK103" s="497"/>
      <c r="CL103" s="497"/>
      <c r="CM103" s="497"/>
    </row>
    <row r="104" spans="1:92" s="357" customFormat="1" ht="15" customHeight="1" x14ac:dyDescent="0.25">
      <c r="A104" s="13"/>
      <c r="B104" s="616"/>
      <c r="C104" s="616" t="s">
        <v>880</v>
      </c>
      <c r="D104" s="18"/>
      <c r="E104" s="18"/>
      <c r="F104" s="18"/>
      <c r="G104" s="18"/>
      <c r="H104" s="18"/>
      <c r="I104" s="18"/>
      <c r="J104" s="18"/>
      <c r="K104" s="18"/>
      <c r="L104" s="18"/>
      <c r="M104" s="18"/>
      <c r="N104" s="18"/>
      <c r="O104" s="18"/>
      <c r="P104" s="18"/>
      <c r="Q104" s="18"/>
      <c r="R104" s="18"/>
      <c r="S104" s="13"/>
      <c r="T104" s="470"/>
      <c r="U104" s="470"/>
      <c r="V104" s="470"/>
      <c r="W104" s="470"/>
      <c r="X104" s="470"/>
      <c r="Y104" s="470"/>
      <c r="Z104" s="470"/>
      <c r="AA104" s="470"/>
      <c r="AB104" s="470"/>
      <c r="AC104" s="470"/>
      <c r="AD104" s="470"/>
      <c r="AE104" s="470"/>
      <c r="AF104" s="470"/>
      <c r="AG104" s="389"/>
      <c r="AH104" s="389"/>
      <c r="AI104" s="477"/>
      <c r="AJ104" s="477"/>
      <c r="AK104" s="497"/>
      <c r="AL104" s="497"/>
      <c r="AM104" s="497"/>
      <c r="AN104" s="497"/>
      <c r="AO104" s="497"/>
      <c r="AP104" s="497"/>
      <c r="AQ104" s="497"/>
      <c r="AR104" s="497"/>
      <c r="AS104" s="497"/>
      <c r="AT104" s="497"/>
      <c r="AU104" s="497"/>
      <c r="AV104" s="497"/>
      <c r="AW104" s="497"/>
      <c r="AX104" s="497"/>
      <c r="AY104" s="497"/>
      <c r="AZ104" s="497"/>
      <c r="BA104" s="497"/>
      <c r="BB104" s="497"/>
      <c r="BC104" s="497"/>
      <c r="BD104" s="497"/>
      <c r="BE104" s="497"/>
      <c r="BF104" s="497"/>
      <c r="BG104" s="497"/>
      <c r="BH104" s="497"/>
      <c r="BI104" s="497"/>
      <c r="BJ104" s="389"/>
      <c r="BK104" s="389"/>
      <c r="BL104" s="389"/>
      <c r="BM104" s="389"/>
      <c r="BN104" s="389"/>
      <c r="BO104" s="389"/>
      <c r="BP104" s="389"/>
      <c r="BQ104" s="389"/>
      <c r="BR104" s="389"/>
      <c r="BS104" s="389"/>
      <c r="BT104" s="389"/>
      <c r="BU104" s="389"/>
      <c r="BW104" s="58"/>
      <c r="BX104" s="497"/>
      <c r="BY104" s="497"/>
      <c r="BZ104" s="497"/>
      <c r="CA104" s="497"/>
      <c r="CB104" s="497"/>
      <c r="CC104" s="497"/>
      <c r="CD104" s="497"/>
      <c r="CE104" s="497"/>
      <c r="CF104" s="497"/>
      <c r="CG104" s="497"/>
      <c r="CH104" s="497"/>
      <c r="CI104" s="497"/>
      <c r="CJ104" s="497"/>
      <c r="CK104" s="497"/>
      <c r="CL104" s="497"/>
      <c r="CM104" s="497"/>
      <c r="CN104" s="497"/>
    </row>
    <row r="105" spans="1:92" s="355" customFormat="1" x14ac:dyDescent="0.25">
      <c r="A105" s="386"/>
      <c r="B105" s="470"/>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386"/>
      <c r="AH105" s="386"/>
      <c r="AI105" s="477"/>
      <c r="AJ105" s="477"/>
      <c r="AK105" s="497"/>
      <c r="AL105" s="497"/>
      <c r="AM105" s="497"/>
      <c r="AN105" s="497"/>
      <c r="AO105" s="497"/>
      <c r="AP105" s="497"/>
      <c r="AQ105" s="497"/>
      <c r="AR105" s="497"/>
      <c r="AS105" s="497"/>
      <c r="AT105" s="497"/>
      <c r="AU105" s="497"/>
      <c r="AV105" s="497"/>
      <c r="AW105" s="497"/>
      <c r="AX105" s="497"/>
      <c r="AY105" s="497"/>
      <c r="AZ105" s="497"/>
      <c r="BA105" s="497"/>
      <c r="BB105" s="497"/>
      <c r="BC105" s="497"/>
      <c r="BD105" s="497"/>
      <c r="BE105" s="497"/>
      <c r="BF105" s="497"/>
      <c r="BG105" s="497"/>
      <c r="BH105" s="497"/>
      <c r="BI105" s="497"/>
      <c r="BJ105" s="386"/>
      <c r="BK105" s="386"/>
      <c r="BL105" s="386"/>
      <c r="BM105" s="386"/>
      <c r="BN105" s="386"/>
      <c r="BO105" s="386"/>
      <c r="BP105" s="386"/>
      <c r="BQ105" s="386"/>
      <c r="BR105" s="386"/>
      <c r="BS105" s="386"/>
      <c r="BT105" s="386"/>
      <c r="BU105" s="386"/>
      <c r="BW105" s="58"/>
      <c r="BX105" s="497"/>
      <c r="BY105" s="497"/>
      <c r="BZ105" s="497"/>
      <c r="CA105" s="497"/>
      <c r="CB105" s="497"/>
      <c r="CC105" s="497"/>
      <c r="CD105" s="497"/>
      <c r="CE105" s="497"/>
      <c r="CF105" s="497"/>
      <c r="CG105" s="497"/>
      <c r="CH105" s="497"/>
      <c r="CI105" s="497"/>
      <c r="CJ105" s="497"/>
      <c r="CK105" s="497"/>
      <c r="CL105" s="497"/>
      <c r="CM105" s="497"/>
      <c r="CN105" s="497"/>
    </row>
    <row r="106" spans="1:92" s="355" customFormat="1" ht="21" x14ac:dyDescent="0.25">
      <c r="A106" s="386"/>
      <c r="B106" s="470"/>
      <c r="C106" s="624" t="s">
        <v>881</v>
      </c>
      <c r="D106" s="470"/>
      <c r="E106" s="470"/>
      <c r="F106" s="470"/>
      <c r="G106" s="470"/>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386"/>
      <c r="AH106" s="386"/>
      <c r="AI106" s="477"/>
      <c r="AJ106" s="477"/>
      <c r="AK106" s="497"/>
      <c r="AL106" s="497"/>
      <c r="AM106" s="497"/>
      <c r="AN106" s="497"/>
      <c r="AO106" s="497"/>
      <c r="AP106" s="497"/>
      <c r="AQ106" s="497"/>
      <c r="AR106" s="497"/>
      <c r="AS106" s="497"/>
      <c r="AT106" s="497"/>
      <c r="AU106" s="497"/>
      <c r="AV106" s="497"/>
      <c r="AW106" s="497"/>
      <c r="AX106" s="497"/>
      <c r="AY106" s="497"/>
      <c r="AZ106" s="497"/>
      <c r="BA106" s="497"/>
      <c r="BB106" s="497"/>
      <c r="BC106" s="497"/>
      <c r="BD106" s="497"/>
      <c r="BE106" s="497"/>
      <c r="BF106" s="497"/>
      <c r="BG106" s="497"/>
      <c r="BH106" s="497"/>
      <c r="BI106" s="497"/>
      <c r="BJ106" s="386"/>
      <c r="BK106" s="386"/>
      <c r="BL106" s="386"/>
      <c r="BM106" s="386"/>
      <c r="BN106" s="386"/>
      <c r="BO106" s="386"/>
      <c r="BP106" s="386"/>
      <c r="BQ106" s="386"/>
      <c r="BR106" s="386"/>
      <c r="BS106" s="386"/>
      <c r="BT106" s="386"/>
      <c r="BU106" s="386"/>
      <c r="BW106" s="58"/>
      <c r="BX106" s="497"/>
      <c r="BY106" s="497"/>
      <c r="BZ106" s="497"/>
      <c r="CA106" s="497"/>
      <c r="CB106" s="497"/>
      <c r="CC106" s="497"/>
      <c r="CD106" s="497"/>
      <c r="CE106" s="497"/>
      <c r="CF106" s="497"/>
      <c r="CG106" s="497"/>
      <c r="CH106" s="497"/>
      <c r="CI106" s="497"/>
      <c r="CJ106" s="497"/>
      <c r="CK106" s="497"/>
      <c r="CL106" s="497"/>
      <c r="CM106" s="497"/>
      <c r="CN106" s="497"/>
    </row>
    <row r="107" spans="1:92" s="355" customFormat="1" ht="21" x14ac:dyDescent="0.35">
      <c r="A107" s="386"/>
      <c r="B107" s="470"/>
      <c r="C107" s="736"/>
      <c r="D107" s="470"/>
      <c r="E107" s="470"/>
      <c r="F107" s="470"/>
      <c r="G107" s="470"/>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386"/>
      <c r="AH107" s="386"/>
      <c r="AI107" s="477"/>
      <c r="AJ107" s="477"/>
      <c r="AK107" s="497"/>
      <c r="AL107" s="497"/>
      <c r="AM107" s="497"/>
      <c r="AN107" s="497"/>
      <c r="AO107" s="497"/>
      <c r="AP107" s="497"/>
      <c r="AQ107" s="497"/>
      <c r="AR107" s="497"/>
      <c r="AS107" s="497"/>
      <c r="AT107" s="497"/>
      <c r="AU107" s="497"/>
      <c r="AV107" s="497"/>
      <c r="AW107" s="497"/>
      <c r="AX107" s="497"/>
      <c r="AY107" s="497"/>
      <c r="AZ107" s="497"/>
      <c r="BA107" s="497"/>
      <c r="BB107" s="497"/>
      <c r="BC107" s="497"/>
      <c r="BD107" s="497"/>
      <c r="BE107" s="497"/>
      <c r="BF107" s="497"/>
      <c r="BG107" s="497"/>
      <c r="BH107" s="497"/>
      <c r="BI107" s="497"/>
      <c r="BJ107" s="386"/>
      <c r="BK107" s="386"/>
      <c r="BL107" s="386"/>
      <c r="BM107" s="386"/>
      <c r="BN107" s="386"/>
      <c r="BO107" s="386"/>
      <c r="BP107" s="386"/>
      <c r="BQ107" s="386"/>
      <c r="BR107" s="386"/>
      <c r="BS107" s="386"/>
      <c r="BT107" s="386"/>
      <c r="BU107" s="386"/>
      <c r="BW107" s="58"/>
      <c r="BX107" s="497"/>
      <c r="BY107" s="497"/>
      <c r="BZ107" s="497"/>
      <c r="CA107" s="497"/>
      <c r="CB107" s="497"/>
      <c r="CC107" s="497"/>
      <c r="CD107" s="497"/>
      <c r="CE107" s="497"/>
      <c r="CF107" s="497"/>
      <c r="CG107" s="497"/>
      <c r="CH107" s="497"/>
      <c r="CI107" s="497"/>
      <c r="CJ107" s="497"/>
      <c r="CK107" s="497"/>
      <c r="CL107" s="497"/>
      <c r="CM107" s="497"/>
      <c r="CN107" s="497"/>
    </row>
    <row r="108" spans="1:92" s="355" customFormat="1" ht="21" x14ac:dyDescent="0.25">
      <c r="A108" s="386"/>
      <c r="B108" s="470"/>
      <c r="C108" s="624" t="s">
        <v>882</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386"/>
      <c r="AH108" s="386"/>
      <c r="AI108" s="477"/>
      <c r="AJ108" s="477"/>
      <c r="AK108" s="497"/>
      <c r="AL108" s="497"/>
      <c r="AM108" s="497"/>
      <c r="AN108" s="497"/>
      <c r="AO108" s="497"/>
      <c r="AP108" s="497"/>
      <c r="AQ108" s="497"/>
      <c r="AR108" s="497"/>
      <c r="AS108" s="497"/>
      <c r="AT108" s="497"/>
      <c r="AU108" s="497"/>
      <c r="AV108" s="497"/>
      <c r="AW108" s="497"/>
      <c r="AX108" s="497"/>
      <c r="AY108" s="497"/>
      <c r="AZ108" s="497"/>
      <c r="BA108" s="497"/>
      <c r="BB108" s="497"/>
      <c r="BC108" s="497"/>
      <c r="BD108" s="497"/>
      <c r="BE108" s="497"/>
      <c r="BF108" s="497"/>
      <c r="BG108" s="497"/>
      <c r="BH108" s="497"/>
      <c r="BI108" s="497"/>
      <c r="BJ108" s="386"/>
      <c r="BK108" s="386"/>
      <c r="BL108" s="386"/>
      <c r="BM108" s="386"/>
      <c r="BN108" s="386"/>
      <c r="BO108" s="386"/>
      <c r="BP108" s="386"/>
      <c r="BQ108" s="386"/>
      <c r="BR108" s="386"/>
      <c r="BS108" s="386"/>
      <c r="BT108" s="386"/>
      <c r="BU108" s="386"/>
      <c r="BW108" s="58"/>
      <c r="BX108" s="497"/>
      <c r="BY108" s="497"/>
      <c r="BZ108" s="497"/>
      <c r="CA108" s="497"/>
      <c r="CB108" s="497"/>
      <c r="CC108" s="497"/>
      <c r="CD108" s="497"/>
      <c r="CE108" s="497"/>
      <c r="CF108" s="497"/>
      <c r="CG108" s="497"/>
      <c r="CH108" s="497"/>
      <c r="CI108" s="497"/>
      <c r="CJ108" s="497"/>
      <c r="CK108" s="497"/>
      <c r="CL108" s="497"/>
      <c r="CM108" s="497"/>
      <c r="CN108" s="497"/>
    </row>
    <row r="109" spans="1:92" ht="20.100000000000001" customHeight="1" x14ac:dyDescent="0.25">
      <c r="B109" s="18"/>
      <c r="C109" s="616"/>
      <c r="D109" s="18"/>
      <c r="E109" s="18"/>
      <c r="F109" s="18"/>
      <c r="G109" s="18"/>
      <c r="H109" s="18"/>
      <c r="I109" s="18"/>
      <c r="J109" s="18"/>
      <c r="K109" s="18"/>
      <c r="L109" s="18"/>
      <c r="M109" s="18"/>
      <c r="N109" s="18"/>
      <c r="O109" s="18"/>
      <c r="P109" s="18"/>
      <c r="Q109" s="18"/>
      <c r="R109" s="18"/>
      <c r="S109" s="13"/>
      <c r="T109" s="470"/>
      <c r="U109" s="470"/>
      <c r="V109" s="470"/>
      <c r="W109" s="470"/>
      <c r="X109" s="470"/>
      <c r="Y109" s="470"/>
      <c r="Z109" s="470"/>
      <c r="AA109" s="470"/>
      <c r="AB109" s="470"/>
      <c r="AC109" s="470"/>
      <c r="AD109" s="470"/>
      <c r="AE109" s="470"/>
      <c r="AF109" s="470"/>
      <c r="AG109" s="389"/>
      <c r="AH109" s="389"/>
      <c r="AI109" s="477"/>
      <c r="AJ109" s="477"/>
      <c r="BJ109" s="56"/>
      <c r="BK109" s="56"/>
      <c r="BL109" s="56"/>
      <c r="BM109" s="56"/>
      <c r="BN109" s="56"/>
      <c r="BO109" s="56"/>
      <c r="BP109" s="56"/>
      <c r="BQ109" s="56"/>
      <c r="BR109" s="56"/>
      <c r="BS109" s="56"/>
      <c r="BT109" s="56"/>
      <c r="BU109" s="56"/>
      <c r="BW109" s="58"/>
      <c r="BX109" s="497"/>
      <c r="BY109" s="497"/>
      <c r="BZ109" s="497"/>
      <c r="CA109" s="497"/>
      <c r="CB109" s="497"/>
      <c r="CC109" s="497"/>
      <c r="CD109" s="497"/>
      <c r="CE109" s="497"/>
      <c r="CF109" s="497"/>
      <c r="CG109" s="497"/>
      <c r="CH109" s="497"/>
      <c r="CI109" s="497"/>
      <c r="CJ109" s="497"/>
      <c r="CK109" s="497"/>
      <c r="CL109" s="497"/>
      <c r="CM109" s="497"/>
    </row>
    <row r="110" spans="1:92" ht="20.100000000000001" customHeight="1" x14ac:dyDescent="0.25">
      <c r="B110" s="18"/>
      <c r="C110" s="616"/>
      <c r="D110" s="18"/>
      <c r="E110" s="18"/>
      <c r="F110" s="18"/>
      <c r="G110" s="18"/>
      <c r="H110" s="18"/>
      <c r="I110" s="18"/>
      <c r="J110" s="18"/>
      <c r="K110" s="18"/>
      <c r="L110" s="18"/>
      <c r="M110" s="18"/>
      <c r="N110" s="18"/>
      <c r="O110" s="18"/>
      <c r="P110" s="18"/>
      <c r="Q110" s="18"/>
      <c r="R110" s="18"/>
      <c r="S110" s="13"/>
      <c r="T110" s="470"/>
      <c r="U110" s="470"/>
      <c r="V110" s="470"/>
      <c r="W110" s="470"/>
      <c r="X110" s="470"/>
      <c r="Y110" s="470"/>
      <c r="Z110" s="470"/>
      <c r="AA110" s="470"/>
      <c r="AB110" s="470"/>
      <c r="AC110" s="470"/>
      <c r="AD110" s="470"/>
      <c r="AE110" s="470"/>
      <c r="AF110" s="470"/>
      <c r="AG110" s="389"/>
      <c r="AH110" s="389"/>
      <c r="AI110" s="477"/>
      <c r="AJ110" s="477"/>
      <c r="BJ110" s="56"/>
      <c r="BK110" s="56"/>
      <c r="BL110" s="56"/>
      <c r="BM110" s="56"/>
      <c r="BN110" s="56"/>
      <c r="BO110" s="56"/>
      <c r="BP110" s="56"/>
      <c r="BQ110" s="56"/>
      <c r="BR110" s="56"/>
      <c r="BS110" s="56"/>
      <c r="BT110" s="56"/>
      <c r="BU110" s="56"/>
      <c r="BW110" s="58"/>
      <c r="BX110" s="497"/>
      <c r="BY110" s="497"/>
      <c r="BZ110" s="497"/>
      <c r="CA110" s="497"/>
      <c r="CB110" s="497"/>
      <c r="CC110" s="497"/>
      <c r="CD110" s="497"/>
      <c r="CE110" s="497"/>
      <c r="CF110" s="497"/>
      <c r="CG110" s="497"/>
      <c r="CH110" s="497"/>
      <c r="CI110" s="497"/>
      <c r="CJ110" s="497"/>
      <c r="CK110" s="497"/>
      <c r="CL110" s="497"/>
      <c r="CM110" s="497"/>
    </row>
    <row r="111" spans="1:92" ht="20.100000000000001" customHeight="1" x14ac:dyDescent="0.25">
      <c r="BW111" s="58"/>
      <c r="BX111" s="497"/>
      <c r="BY111" s="497"/>
      <c r="BZ111" s="497"/>
      <c r="CA111" s="497"/>
      <c r="CB111" s="497"/>
      <c r="CC111" s="497"/>
      <c r="CD111" s="497"/>
      <c r="CE111" s="497"/>
      <c r="CF111" s="497"/>
      <c r="CG111" s="497"/>
      <c r="CH111" s="497"/>
      <c r="CI111" s="497"/>
      <c r="CJ111" s="497"/>
      <c r="CK111" s="497"/>
      <c r="CL111" s="497"/>
      <c r="CM111" s="497"/>
    </row>
    <row r="112" spans="1:92" ht="20.100000000000001" customHeight="1" x14ac:dyDescent="0.25">
      <c r="BW112" s="58"/>
      <c r="BX112" s="497"/>
      <c r="BY112" s="497"/>
      <c r="BZ112" s="497"/>
      <c r="CA112" s="497"/>
      <c r="CB112" s="497"/>
      <c r="CC112" s="497"/>
      <c r="CD112" s="497"/>
      <c r="CE112" s="497"/>
      <c r="CF112" s="497"/>
      <c r="CG112" s="497"/>
      <c r="CH112" s="497"/>
      <c r="CI112" s="497"/>
      <c r="CJ112" s="497"/>
      <c r="CK112" s="497"/>
      <c r="CL112" s="497"/>
      <c r="CM112" s="497"/>
    </row>
    <row r="113" spans="61:91" ht="20.100000000000001" customHeight="1" x14ac:dyDescent="0.25">
      <c r="BW113" s="58"/>
      <c r="BX113" s="497"/>
      <c r="BY113" s="497"/>
      <c r="BZ113" s="497"/>
      <c r="CA113" s="497"/>
      <c r="CB113" s="497"/>
      <c r="CC113" s="497"/>
      <c r="CD113" s="497"/>
      <c r="CE113" s="497"/>
      <c r="CF113" s="497"/>
      <c r="CG113" s="497"/>
      <c r="CH113" s="497"/>
      <c r="CI113" s="497"/>
      <c r="CJ113" s="497"/>
      <c r="CK113" s="497"/>
      <c r="CL113" s="497"/>
      <c r="CM113" s="497"/>
    </row>
    <row r="114" spans="61:91" ht="20.100000000000001" customHeight="1" x14ac:dyDescent="0.25">
      <c r="BW114" s="58"/>
      <c r="BX114" s="497"/>
      <c r="BY114" s="497"/>
      <c r="BZ114" s="497"/>
      <c r="CA114" s="497"/>
      <c r="CB114" s="497"/>
      <c r="CC114" s="497"/>
      <c r="CD114" s="497"/>
      <c r="CE114" s="497"/>
      <c r="CF114" s="497"/>
      <c r="CG114" s="497"/>
      <c r="CH114" s="497"/>
      <c r="CI114" s="497"/>
      <c r="CJ114" s="497"/>
      <c r="CK114" s="497"/>
      <c r="CL114" s="497"/>
      <c r="CM114" s="497"/>
    </row>
    <row r="115" spans="61:91" ht="20.100000000000001" customHeight="1" x14ac:dyDescent="0.25">
      <c r="BW115" s="58"/>
      <c r="BX115" s="497"/>
      <c r="BY115" s="497"/>
      <c r="BZ115" s="497"/>
      <c r="CA115" s="497"/>
      <c r="CB115" s="497"/>
      <c r="CC115" s="497"/>
      <c r="CD115" s="497"/>
      <c r="CE115" s="497"/>
      <c r="CF115" s="497"/>
      <c r="CG115" s="497"/>
      <c r="CH115" s="497"/>
      <c r="CI115" s="497"/>
      <c r="CJ115" s="497"/>
      <c r="CK115" s="497"/>
      <c r="CL115" s="497"/>
      <c r="CM115" s="497"/>
    </row>
    <row r="116" spans="61:91" ht="20.100000000000001" customHeight="1" x14ac:dyDescent="0.25">
      <c r="BI116" s="58"/>
      <c r="BV116" s="58"/>
      <c r="BW116" s="58"/>
      <c r="BX116" s="497"/>
      <c r="BY116" s="497"/>
      <c r="BZ116" s="497"/>
      <c r="CA116" s="497"/>
      <c r="CB116" s="497"/>
      <c r="CC116" s="497"/>
      <c r="CD116" s="497"/>
      <c r="CE116" s="497"/>
      <c r="CF116" s="497"/>
      <c r="CG116" s="497"/>
      <c r="CH116" s="497"/>
      <c r="CI116" s="497"/>
      <c r="CJ116" s="497"/>
      <c r="CK116" s="497"/>
      <c r="CL116" s="497"/>
      <c r="CM116" s="497"/>
    </row>
    <row r="117" spans="61:91" ht="20.100000000000001" customHeight="1" x14ac:dyDescent="0.25">
      <c r="BI117" s="58"/>
      <c r="BV117" s="58"/>
      <c r="BW117" s="58"/>
      <c r="BX117" s="497"/>
      <c r="BY117" s="497"/>
      <c r="BZ117" s="497"/>
      <c r="CA117" s="497"/>
      <c r="CB117" s="497"/>
      <c r="CC117" s="497"/>
      <c r="CD117" s="497"/>
      <c r="CE117" s="497"/>
      <c r="CF117" s="497"/>
      <c r="CG117" s="497"/>
      <c r="CH117" s="497"/>
      <c r="CI117" s="497"/>
      <c r="CJ117" s="497"/>
      <c r="CK117" s="497"/>
      <c r="CL117" s="497"/>
      <c r="CM117" s="497"/>
    </row>
    <row r="118" spans="61:91" ht="20.100000000000001" customHeight="1" x14ac:dyDescent="0.25">
      <c r="BI118" s="58"/>
      <c r="BV118" s="58"/>
      <c r="BW118" s="58"/>
      <c r="BX118" s="497"/>
      <c r="BY118" s="497"/>
      <c r="BZ118" s="497"/>
      <c r="CA118" s="497"/>
      <c r="CB118" s="497"/>
      <c r="CC118" s="497"/>
      <c r="CD118" s="497"/>
      <c r="CE118" s="497"/>
      <c r="CF118" s="497"/>
      <c r="CG118" s="497"/>
      <c r="CH118" s="497"/>
      <c r="CI118" s="497"/>
      <c r="CJ118" s="497"/>
      <c r="CK118" s="497"/>
      <c r="CL118" s="497"/>
      <c r="CM118" s="497"/>
    </row>
    <row r="119" spans="61:91" ht="20.100000000000001" customHeight="1" x14ac:dyDescent="0.25">
      <c r="BI119" s="58"/>
      <c r="BV119" s="58"/>
      <c r="BW119" s="58"/>
      <c r="BX119" s="497"/>
      <c r="BY119" s="497"/>
      <c r="BZ119" s="497"/>
      <c r="CA119" s="497"/>
      <c r="CB119" s="497"/>
      <c r="CC119" s="497"/>
      <c r="CD119" s="497"/>
      <c r="CE119" s="497"/>
      <c r="CF119" s="497"/>
      <c r="CG119" s="497"/>
      <c r="CH119" s="497"/>
      <c r="CI119" s="497"/>
      <c r="CJ119" s="497"/>
      <c r="CK119" s="497"/>
      <c r="CL119" s="497"/>
      <c r="CM119" s="497"/>
    </row>
    <row r="120" spans="61:91" ht="20.100000000000001" customHeight="1" x14ac:dyDescent="0.25">
      <c r="BI120" s="58"/>
      <c r="BV120" s="58"/>
      <c r="BW120" s="58"/>
      <c r="BX120" s="497"/>
      <c r="BY120" s="497"/>
      <c r="BZ120" s="497"/>
      <c r="CA120" s="497"/>
      <c r="CB120" s="497"/>
      <c r="CC120" s="497"/>
      <c r="CD120" s="497"/>
      <c r="CE120" s="497"/>
      <c r="CF120" s="497"/>
      <c r="CG120" s="497"/>
      <c r="CH120" s="497"/>
      <c r="CI120" s="497"/>
      <c r="CJ120" s="497"/>
      <c r="CK120" s="497"/>
      <c r="CL120" s="497"/>
      <c r="CM120" s="497"/>
    </row>
    <row r="121" spans="61:91" ht="20.100000000000001" customHeight="1" x14ac:dyDescent="0.25">
      <c r="BI121" s="58"/>
      <c r="BV121" s="58"/>
      <c r="BW121" s="58"/>
      <c r="BX121" s="497"/>
      <c r="BY121" s="497"/>
      <c r="BZ121" s="497"/>
      <c r="CA121" s="497"/>
      <c r="CB121" s="497"/>
      <c r="CC121" s="497"/>
      <c r="CD121" s="497"/>
      <c r="CE121" s="497"/>
      <c r="CF121" s="497"/>
      <c r="CG121" s="497"/>
      <c r="CH121" s="497"/>
      <c r="CI121" s="497"/>
      <c r="CJ121" s="497"/>
      <c r="CK121" s="497"/>
      <c r="CL121" s="497"/>
      <c r="CM121" s="497"/>
    </row>
    <row r="122" spans="61:91" ht="20.100000000000001" customHeight="1" x14ac:dyDescent="0.25">
      <c r="BI122" s="58"/>
      <c r="BV122" s="58"/>
      <c r="BW122" s="58"/>
      <c r="BX122" s="497"/>
      <c r="BY122" s="497"/>
      <c r="BZ122" s="497"/>
      <c r="CA122" s="497"/>
      <c r="CB122" s="497"/>
      <c r="CC122" s="497"/>
      <c r="CD122" s="497"/>
      <c r="CE122" s="497"/>
      <c r="CF122" s="497"/>
      <c r="CG122" s="497"/>
      <c r="CH122" s="497"/>
      <c r="CI122" s="497"/>
      <c r="CJ122" s="497"/>
      <c r="CK122" s="497"/>
      <c r="CL122" s="497"/>
      <c r="CM122" s="497"/>
    </row>
    <row r="123" spans="61:91" ht="20.100000000000001" customHeight="1" x14ac:dyDescent="0.25">
      <c r="BI123" s="58"/>
      <c r="BV123" s="58"/>
      <c r="BW123" s="58"/>
      <c r="BX123" s="497"/>
      <c r="BY123" s="497"/>
      <c r="BZ123" s="497"/>
      <c r="CA123" s="497"/>
      <c r="CB123" s="497"/>
      <c r="CC123" s="497"/>
      <c r="CD123" s="497"/>
      <c r="CE123" s="497"/>
      <c r="CF123" s="497"/>
      <c r="CG123" s="497"/>
      <c r="CH123" s="497"/>
      <c r="CI123" s="497"/>
      <c r="CJ123" s="497"/>
      <c r="CK123" s="497"/>
      <c r="CL123" s="497"/>
      <c r="CM123" s="497"/>
    </row>
    <row r="124" spans="61:91" ht="20.100000000000001" customHeight="1" x14ac:dyDescent="0.25">
      <c r="BI124" s="58"/>
      <c r="BV124" s="58"/>
      <c r="BW124" s="58"/>
      <c r="BX124" s="497"/>
      <c r="BY124" s="497"/>
      <c r="BZ124" s="497"/>
      <c r="CA124" s="497"/>
      <c r="CB124" s="497"/>
      <c r="CC124" s="497"/>
      <c r="CD124" s="497"/>
      <c r="CE124" s="497"/>
      <c r="CF124" s="497"/>
      <c r="CG124" s="497"/>
      <c r="CH124" s="497"/>
      <c r="CI124" s="497"/>
      <c r="CJ124" s="497"/>
      <c r="CK124" s="497"/>
      <c r="CL124" s="497"/>
      <c r="CM124" s="497"/>
    </row>
    <row r="125" spans="61:91" ht="20.100000000000001" customHeight="1" x14ac:dyDescent="0.25">
      <c r="BI125" s="58"/>
      <c r="BV125" s="58"/>
      <c r="BW125" s="58"/>
      <c r="BX125" s="497"/>
      <c r="BY125" s="497"/>
      <c r="BZ125" s="497"/>
      <c r="CA125" s="497"/>
      <c r="CB125" s="497"/>
      <c r="CC125" s="497"/>
      <c r="CD125" s="497"/>
      <c r="CE125" s="497"/>
      <c r="CF125" s="497"/>
      <c r="CG125" s="497"/>
      <c r="CH125" s="497"/>
      <c r="CI125" s="497"/>
      <c r="CJ125" s="497"/>
      <c r="CK125" s="497"/>
      <c r="CL125" s="497"/>
      <c r="CM125" s="497"/>
    </row>
    <row r="126" spans="61:91" ht="20.100000000000001" customHeight="1" x14ac:dyDescent="0.25">
      <c r="BI126" s="58"/>
      <c r="BV126" s="58"/>
      <c r="BW126" s="58"/>
      <c r="BX126" s="497"/>
      <c r="BY126" s="497"/>
      <c r="BZ126" s="497"/>
      <c r="CA126" s="497"/>
      <c r="CB126" s="497"/>
      <c r="CC126" s="497"/>
      <c r="CD126" s="497"/>
      <c r="CE126" s="497"/>
      <c r="CF126" s="497"/>
      <c r="CG126" s="497"/>
      <c r="CH126" s="497"/>
      <c r="CI126" s="497"/>
      <c r="CJ126" s="497"/>
      <c r="CK126" s="497"/>
      <c r="CL126" s="497"/>
      <c r="CM126" s="497"/>
    </row>
    <row r="127" spans="61:91" ht="20.100000000000001" customHeight="1" x14ac:dyDescent="0.25">
      <c r="BJ127" s="98"/>
      <c r="BK127" s="98"/>
      <c r="BL127" s="98"/>
      <c r="BM127" s="98"/>
      <c r="BX127" s="497"/>
      <c r="BY127" s="497"/>
      <c r="BZ127" s="497"/>
      <c r="CA127" s="497"/>
      <c r="CB127" s="497"/>
      <c r="CC127" s="497"/>
      <c r="CD127" s="497"/>
      <c r="CE127" s="497"/>
      <c r="CF127" s="497"/>
      <c r="CG127" s="497"/>
      <c r="CH127" s="497"/>
      <c r="CI127" s="497"/>
      <c r="CJ127" s="497"/>
      <c r="CK127" s="497"/>
      <c r="CL127" s="497"/>
      <c r="CM127" s="497"/>
    </row>
    <row r="128" spans="61:91" ht="20.100000000000001" customHeight="1" x14ac:dyDescent="0.25">
      <c r="BJ128" s="98"/>
      <c r="BK128" s="98"/>
      <c r="BL128" s="98"/>
      <c r="BM128" s="98"/>
      <c r="BX128" s="497"/>
      <c r="BY128" s="497"/>
      <c r="BZ128" s="497"/>
      <c r="CA128" s="497"/>
      <c r="CB128" s="497"/>
      <c r="CC128" s="497"/>
      <c r="CD128" s="497"/>
      <c r="CE128" s="497"/>
      <c r="CF128" s="497"/>
      <c r="CG128" s="497"/>
      <c r="CH128" s="497"/>
      <c r="CI128" s="497"/>
      <c r="CJ128" s="497"/>
      <c r="CK128" s="497"/>
      <c r="CL128" s="497"/>
      <c r="CM128" s="497"/>
    </row>
    <row r="129" spans="62:91" ht="20.100000000000001" customHeight="1" x14ac:dyDescent="0.25">
      <c r="BJ129" s="98"/>
      <c r="BK129" s="98"/>
      <c r="BL129" s="98"/>
      <c r="BM129" s="98"/>
      <c r="BX129" s="497"/>
      <c r="BY129" s="497"/>
      <c r="BZ129" s="497"/>
      <c r="CA129" s="497"/>
      <c r="CB129" s="497"/>
      <c r="CC129" s="497"/>
      <c r="CD129" s="497"/>
      <c r="CE129" s="497"/>
      <c r="CF129" s="497"/>
      <c r="CG129" s="497"/>
      <c r="CH129" s="497"/>
      <c r="CI129" s="497"/>
      <c r="CJ129" s="497"/>
      <c r="CK129" s="497"/>
      <c r="CL129" s="497"/>
      <c r="CM129" s="497"/>
    </row>
    <row r="130" spans="62:91" ht="20.100000000000001" customHeight="1" x14ac:dyDescent="0.25">
      <c r="BJ130" s="98"/>
      <c r="BK130" s="98"/>
      <c r="BL130" s="98"/>
      <c r="BM130" s="98"/>
      <c r="BX130" s="497"/>
      <c r="BY130" s="497"/>
      <c r="BZ130" s="497"/>
      <c r="CA130" s="497"/>
      <c r="CB130" s="497"/>
      <c r="CC130" s="497"/>
      <c r="CD130" s="497"/>
      <c r="CE130" s="497"/>
      <c r="CF130" s="497"/>
      <c r="CG130" s="497"/>
      <c r="CH130" s="497"/>
      <c r="CI130" s="497"/>
      <c r="CJ130" s="497"/>
      <c r="CK130" s="497"/>
      <c r="CL130" s="497"/>
      <c r="CM130" s="497"/>
    </row>
    <row r="131" spans="62:91" ht="20.100000000000001" customHeight="1" x14ac:dyDescent="0.25">
      <c r="BJ131" s="269"/>
      <c r="BK131" s="270"/>
      <c r="BL131" s="98"/>
      <c r="BM131" s="98"/>
      <c r="BX131" s="497"/>
      <c r="BY131" s="497"/>
      <c r="BZ131" s="497"/>
      <c r="CA131" s="497"/>
      <c r="CB131" s="497"/>
      <c r="CC131" s="497"/>
      <c r="CD131" s="497"/>
      <c r="CE131" s="497"/>
      <c r="CF131" s="497"/>
      <c r="CG131" s="497"/>
      <c r="CH131" s="497"/>
      <c r="CI131" s="497"/>
      <c r="CJ131" s="497"/>
      <c r="CK131" s="497"/>
      <c r="CL131" s="497"/>
      <c r="CM131" s="497"/>
    </row>
    <row r="132" spans="62:91" ht="20.100000000000001" customHeight="1" x14ac:dyDescent="0.25">
      <c r="BJ132" s="269"/>
      <c r="BK132" s="98"/>
      <c r="BL132" s="98"/>
      <c r="BM132" s="98"/>
      <c r="BX132" s="497"/>
      <c r="BY132" s="497"/>
      <c r="BZ132" s="497"/>
      <c r="CA132" s="497"/>
      <c r="CB132" s="497"/>
      <c r="CC132" s="497"/>
      <c r="CD132" s="497"/>
      <c r="CE132" s="497"/>
      <c r="CF132" s="497"/>
      <c r="CG132" s="497"/>
      <c r="CH132" s="497"/>
      <c r="CI132" s="497"/>
      <c r="CJ132" s="497"/>
      <c r="CK132" s="497"/>
      <c r="CL132" s="497"/>
      <c r="CM132" s="497"/>
    </row>
    <row r="133" spans="62:91" ht="20.100000000000001" customHeight="1" x14ac:dyDescent="0.25">
      <c r="BJ133" s="269"/>
      <c r="BK133" s="270"/>
      <c r="BL133" s="98"/>
      <c r="BM133" s="98"/>
      <c r="BX133" s="497"/>
      <c r="BY133" s="497"/>
      <c r="BZ133" s="497"/>
      <c r="CA133" s="497"/>
      <c r="CB133" s="497"/>
      <c r="CC133" s="497"/>
      <c r="CD133" s="497"/>
      <c r="CE133" s="497"/>
      <c r="CF133" s="497"/>
      <c r="CG133" s="497"/>
      <c r="CH133" s="497"/>
      <c r="CI133" s="497"/>
      <c r="CJ133" s="497"/>
      <c r="CK133" s="497"/>
      <c r="CL133" s="497"/>
      <c r="CM133" s="497"/>
    </row>
    <row r="134" spans="62:91" ht="20.100000000000001" customHeight="1" x14ac:dyDescent="0.25">
      <c r="BJ134" s="269"/>
      <c r="BK134" s="270"/>
      <c r="BL134" s="98"/>
      <c r="BM134" s="98"/>
      <c r="BX134" s="497"/>
      <c r="BY134" s="497"/>
      <c r="BZ134" s="497"/>
      <c r="CA134" s="497"/>
      <c r="CB134" s="497"/>
      <c r="CC134" s="497"/>
      <c r="CD134" s="497"/>
      <c r="CE134" s="497"/>
      <c r="CF134" s="497"/>
      <c r="CG134" s="497"/>
      <c r="CH134" s="497"/>
      <c r="CI134" s="497"/>
      <c r="CJ134" s="497"/>
      <c r="CK134" s="497"/>
      <c r="CL134" s="497"/>
      <c r="CM134" s="497"/>
    </row>
    <row r="135" spans="62:91" ht="20.100000000000001" customHeight="1" x14ac:dyDescent="0.25">
      <c r="BJ135" s="269"/>
      <c r="BK135" s="270"/>
      <c r="BL135" s="98"/>
      <c r="BM135" s="98"/>
      <c r="BX135" s="497"/>
      <c r="BY135" s="497"/>
      <c r="BZ135" s="497"/>
      <c r="CA135" s="497"/>
      <c r="CB135" s="497"/>
      <c r="CC135" s="497"/>
      <c r="CD135" s="497"/>
      <c r="CE135" s="497"/>
      <c r="CF135" s="497"/>
      <c r="CG135" s="497"/>
      <c r="CH135" s="497"/>
      <c r="CI135" s="497"/>
      <c r="CJ135" s="497"/>
      <c r="CK135" s="497"/>
      <c r="CL135" s="497"/>
      <c r="CM135" s="497"/>
    </row>
    <row r="136" spans="62:91" ht="20.100000000000001" customHeight="1" x14ac:dyDescent="0.25">
      <c r="BJ136" s="269"/>
      <c r="BK136" s="98"/>
      <c r="BL136" s="98"/>
      <c r="BM136" s="98"/>
      <c r="BX136" s="497"/>
      <c r="BY136" s="497"/>
      <c r="BZ136" s="497"/>
      <c r="CA136" s="497"/>
      <c r="CB136" s="497"/>
      <c r="CC136" s="497"/>
      <c r="CD136" s="497"/>
      <c r="CE136" s="497"/>
      <c r="CF136" s="497"/>
      <c r="CG136" s="497"/>
      <c r="CH136" s="497"/>
      <c r="CI136" s="497"/>
      <c r="CJ136" s="497"/>
      <c r="CK136" s="497"/>
      <c r="CL136" s="497"/>
      <c r="CM136" s="497"/>
    </row>
    <row r="137" spans="62:91" ht="20.100000000000001" customHeight="1" x14ac:dyDescent="0.25">
      <c r="BJ137" s="269"/>
      <c r="BK137" s="98"/>
      <c r="BL137" s="98"/>
      <c r="BM137" s="98"/>
      <c r="BX137" s="497"/>
      <c r="BY137" s="497"/>
      <c r="BZ137" s="497"/>
      <c r="CA137" s="497"/>
      <c r="CB137" s="497"/>
      <c r="CC137" s="497"/>
      <c r="CD137" s="497"/>
      <c r="CE137" s="497"/>
      <c r="CF137" s="497"/>
      <c r="CG137" s="497"/>
      <c r="CH137" s="497"/>
      <c r="CI137" s="497"/>
      <c r="CJ137" s="497"/>
      <c r="CK137" s="497"/>
      <c r="CL137" s="497"/>
      <c r="CM137" s="497"/>
    </row>
    <row r="138" spans="62:91" ht="20.100000000000001" customHeight="1" x14ac:dyDescent="0.25">
      <c r="BJ138" s="98"/>
      <c r="BK138" s="98"/>
      <c r="BL138" s="98"/>
      <c r="BM138" s="98"/>
      <c r="BX138" s="497"/>
      <c r="BY138" s="497"/>
      <c r="BZ138" s="497"/>
      <c r="CA138" s="497"/>
      <c r="CB138" s="497"/>
      <c r="CC138" s="497"/>
      <c r="CD138" s="497"/>
      <c r="CE138" s="497"/>
      <c r="CF138" s="497"/>
      <c r="CG138" s="497"/>
      <c r="CH138" s="497"/>
      <c r="CI138" s="497"/>
      <c r="CJ138" s="497"/>
      <c r="CK138" s="497"/>
      <c r="CL138" s="497"/>
      <c r="CM138" s="497"/>
    </row>
    <row r="139" spans="62:91" ht="20.100000000000001" customHeight="1" x14ac:dyDescent="0.25">
      <c r="BM139" s="98"/>
      <c r="BX139" s="497"/>
      <c r="BY139" s="497"/>
      <c r="BZ139" s="497"/>
      <c r="CA139" s="497"/>
      <c r="CB139" s="497"/>
      <c r="CC139" s="497"/>
      <c r="CD139" s="497"/>
      <c r="CE139" s="497"/>
      <c r="CF139" s="497"/>
      <c r="CG139" s="497"/>
      <c r="CH139" s="497"/>
      <c r="CI139" s="497"/>
      <c r="CJ139" s="497"/>
      <c r="CK139" s="497"/>
      <c r="CL139" s="497"/>
      <c r="CM139" s="497"/>
    </row>
    <row r="140" spans="62:91" ht="20.100000000000001" customHeight="1" x14ac:dyDescent="0.25">
      <c r="BM140" s="98"/>
      <c r="BX140" s="497"/>
      <c r="BY140" s="497"/>
      <c r="BZ140" s="497"/>
      <c r="CA140" s="497"/>
      <c r="CB140" s="497"/>
      <c r="CC140" s="497"/>
      <c r="CD140" s="497"/>
      <c r="CE140" s="497"/>
      <c r="CF140" s="497"/>
      <c r="CG140" s="497"/>
      <c r="CH140" s="497"/>
      <c r="CI140" s="497"/>
      <c r="CJ140" s="497"/>
      <c r="CK140" s="497"/>
      <c r="CL140" s="497"/>
      <c r="CM140" s="497"/>
    </row>
    <row r="141" spans="62:91" ht="20.100000000000001" customHeight="1" x14ac:dyDescent="0.25">
      <c r="BJ141" s="98"/>
      <c r="BK141" s="98"/>
      <c r="BL141" s="98"/>
      <c r="BM141" s="98"/>
      <c r="BX141" s="497"/>
      <c r="BY141" s="497"/>
      <c r="BZ141" s="497"/>
      <c r="CA141" s="497"/>
      <c r="CB141" s="497"/>
      <c r="CC141" s="497"/>
      <c r="CD141" s="497"/>
      <c r="CE141" s="497"/>
      <c r="CF141" s="497"/>
      <c r="CG141" s="497"/>
      <c r="CH141" s="497"/>
      <c r="CI141" s="497"/>
      <c r="CJ141" s="497"/>
      <c r="CK141" s="497"/>
      <c r="CL141" s="497"/>
      <c r="CM141" s="497"/>
    </row>
    <row r="142" spans="62:91" ht="20.100000000000001" customHeight="1" x14ac:dyDescent="0.25">
      <c r="BX142" s="497"/>
      <c r="BY142" s="497"/>
      <c r="BZ142" s="497"/>
      <c r="CA142" s="497"/>
      <c r="CB142" s="497"/>
      <c r="CC142" s="497"/>
      <c r="CD142" s="497"/>
      <c r="CE142" s="497"/>
      <c r="CF142" s="497"/>
      <c r="CG142" s="497"/>
      <c r="CH142" s="497"/>
      <c r="CI142" s="497"/>
      <c r="CJ142" s="497"/>
      <c r="CK142" s="497"/>
      <c r="CL142" s="497"/>
      <c r="CM142" s="497"/>
    </row>
    <row r="143" spans="62:91" ht="20.100000000000001" customHeight="1" x14ac:dyDescent="0.25">
      <c r="BX143" s="497"/>
      <c r="BY143" s="497"/>
      <c r="BZ143" s="497"/>
      <c r="CA143" s="497"/>
      <c r="CB143" s="497"/>
      <c r="CC143" s="497"/>
      <c r="CD143" s="497"/>
      <c r="CE143" s="497"/>
      <c r="CF143" s="497"/>
      <c r="CG143" s="497"/>
      <c r="CH143" s="497"/>
      <c r="CI143" s="497"/>
      <c r="CJ143" s="497"/>
      <c r="CK143" s="497"/>
      <c r="CL143" s="497"/>
      <c r="CM143" s="497"/>
    </row>
    <row r="144" spans="62:91" ht="20.100000000000001" customHeight="1" x14ac:dyDescent="0.25">
      <c r="BX144" s="497"/>
      <c r="BY144" s="497"/>
      <c r="BZ144" s="497"/>
      <c r="CA144" s="497"/>
      <c r="CB144" s="497"/>
      <c r="CC144" s="497"/>
      <c r="CD144" s="497"/>
      <c r="CE144" s="497"/>
      <c r="CF144" s="497"/>
      <c r="CG144" s="497"/>
      <c r="CH144" s="497"/>
      <c r="CI144" s="497"/>
      <c r="CJ144" s="497"/>
      <c r="CK144" s="497"/>
      <c r="CL144" s="497"/>
      <c r="CM144" s="497"/>
    </row>
    <row r="145" spans="76:91" ht="20.100000000000001" customHeight="1" x14ac:dyDescent="0.25">
      <c r="BX145" s="497"/>
      <c r="BY145" s="497"/>
      <c r="BZ145" s="497"/>
      <c r="CA145" s="497"/>
      <c r="CB145" s="497"/>
      <c r="CC145" s="497"/>
      <c r="CD145" s="497"/>
      <c r="CE145" s="497"/>
      <c r="CF145" s="497"/>
      <c r="CG145" s="497"/>
      <c r="CH145" s="497"/>
      <c r="CI145" s="497"/>
      <c r="CJ145" s="497"/>
      <c r="CK145" s="497"/>
      <c r="CL145" s="497"/>
      <c r="CM145" s="497"/>
    </row>
    <row r="146" spans="76:91" ht="20.100000000000001" customHeight="1" x14ac:dyDescent="0.25">
      <c r="BX146" s="497"/>
      <c r="BY146" s="497"/>
      <c r="BZ146" s="497"/>
      <c r="CA146" s="497"/>
      <c r="CB146" s="497"/>
      <c r="CC146" s="497"/>
      <c r="CD146" s="497"/>
      <c r="CE146" s="497"/>
      <c r="CF146" s="497"/>
      <c r="CG146" s="497"/>
      <c r="CH146" s="497"/>
      <c r="CI146" s="497"/>
      <c r="CJ146" s="497"/>
      <c r="CK146" s="497"/>
      <c r="CL146" s="497"/>
      <c r="CM146" s="497"/>
    </row>
    <row r="147" spans="76:91" ht="20.100000000000001" customHeight="1" x14ac:dyDescent="0.25">
      <c r="BX147" s="497"/>
      <c r="BY147" s="497"/>
      <c r="BZ147" s="497"/>
      <c r="CA147" s="497"/>
      <c r="CB147" s="497"/>
      <c r="CC147" s="497"/>
      <c r="CD147" s="497"/>
      <c r="CE147" s="497"/>
      <c r="CF147" s="497"/>
      <c r="CG147" s="497"/>
      <c r="CH147" s="497"/>
      <c r="CI147" s="497"/>
      <c r="CJ147" s="497"/>
      <c r="CK147" s="497"/>
      <c r="CL147" s="497"/>
      <c r="CM147" s="497"/>
    </row>
    <row r="148" spans="76:91" ht="20.100000000000001" customHeight="1" x14ac:dyDescent="0.25">
      <c r="BX148" s="497"/>
      <c r="BY148" s="497"/>
      <c r="BZ148" s="497"/>
      <c r="CA148" s="497"/>
      <c r="CB148" s="497"/>
      <c r="CC148" s="497"/>
      <c r="CD148" s="497"/>
      <c r="CE148" s="497"/>
      <c r="CF148" s="497"/>
      <c r="CG148" s="497"/>
      <c r="CH148" s="497"/>
      <c r="CI148" s="497"/>
      <c r="CJ148" s="497"/>
      <c r="CK148" s="497"/>
      <c r="CL148" s="497"/>
      <c r="CM148" s="497"/>
    </row>
    <row r="149" spans="76:91" ht="20.100000000000001" customHeight="1" x14ac:dyDescent="0.25">
      <c r="BX149" s="497"/>
      <c r="BY149" s="497"/>
      <c r="BZ149" s="497"/>
      <c r="CA149" s="497"/>
      <c r="CB149" s="497"/>
      <c r="CC149" s="497"/>
      <c r="CD149" s="497"/>
      <c r="CE149" s="497"/>
      <c r="CF149" s="497"/>
      <c r="CG149" s="497"/>
      <c r="CH149" s="497"/>
      <c r="CI149" s="497"/>
      <c r="CJ149" s="497"/>
      <c r="CK149" s="497"/>
      <c r="CL149" s="497"/>
      <c r="CM149" s="497"/>
    </row>
    <row r="150" spans="76:91" ht="20.100000000000001" customHeight="1" x14ac:dyDescent="0.25">
      <c r="BX150" s="497"/>
      <c r="BY150" s="497"/>
      <c r="BZ150" s="497"/>
      <c r="CA150" s="497"/>
      <c r="CB150" s="497"/>
      <c r="CC150" s="497"/>
      <c r="CD150" s="497"/>
      <c r="CE150" s="497"/>
      <c r="CF150" s="497"/>
      <c r="CG150" s="497"/>
      <c r="CH150" s="497"/>
      <c r="CI150" s="497"/>
      <c r="CJ150" s="497"/>
      <c r="CK150" s="497"/>
      <c r="CL150" s="497"/>
      <c r="CM150" s="497"/>
    </row>
    <row r="151" spans="76:91" ht="20.100000000000001" customHeight="1" x14ac:dyDescent="0.25">
      <c r="BX151" s="497"/>
      <c r="BY151" s="497"/>
      <c r="BZ151" s="497"/>
      <c r="CA151" s="497"/>
      <c r="CB151" s="497"/>
      <c r="CC151" s="497"/>
      <c r="CD151" s="497"/>
      <c r="CE151" s="497"/>
      <c r="CF151" s="497"/>
      <c r="CG151" s="497"/>
      <c r="CH151" s="497"/>
      <c r="CI151" s="497"/>
      <c r="CJ151" s="497"/>
      <c r="CK151" s="497"/>
      <c r="CL151" s="497"/>
      <c r="CM151" s="497"/>
    </row>
    <row r="152" spans="76:91" ht="20.100000000000001" customHeight="1" x14ac:dyDescent="0.25">
      <c r="BX152" s="497"/>
      <c r="BY152" s="497"/>
      <c r="BZ152" s="497"/>
      <c r="CA152" s="497"/>
      <c r="CB152" s="497"/>
      <c r="CC152" s="497"/>
      <c r="CD152" s="497"/>
      <c r="CE152" s="497"/>
      <c r="CF152" s="497"/>
      <c r="CG152" s="497"/>
      <c r="CH152" s="497"/>
      <c r="CI152" s="497"/>
      <c r="CJ152" s="497"/>
      <c r="CK152" s="497"/>
      <c r="CL152" s="497"/>
      <c r="CM152" s="497"/>
    </row>
    <row r="153" spans="76:91" ht="20.100000000000001" customHeight="1" x14ac:dyDescent="0.25">
      <c r="BX153" s="497"/>
      <c r="BY153" s="497"/>
      <c r="BZ153" s="497"/>
      <c r="CA153" s="497"/>
      <c r="CB153" s="497"/>
      <c r="CC153" s="497"/>
      <c r="CD153" s="497"/>
      <c r="CE153" s="497"/>
      <c r="CF153" s="497"/>
      <c r="CG153" s="497"/>
      <c r="CH153" s="497"/>
      <c r="CI153" s="497"/>
      <c r="CJ153" s="497"/>
      <c r="CK153" s="497"/>
      <c r="CL153" s="497"/>
      <c r="CM153" s="497"/>
    </row>
    <row r="154" spans="76:91" ht="20.100000000000001" customHeight="1" x14ac:dyDescent="0.25">
      <c r="BX154" s="497"/>
      <c r="BY154" s="497"/>
      <c r="BZ154" s="497"/>
      <c r="CA154" s="497"/>
      <c r="CB154" s="497"/>
      <c r="CC154" s="497"/>
      <c r="CD154" s="497"/>
      <c r="CE154" s="497"/>
      <c r="CF154" s="497"/>
      <c r="CG154" s="497"/>
      <c r="CH154" s="497"/>
      <c r="CI154" s="497"/>
      <c r="CJ154" s="497"/>
      <c r="CK154" s="497"/>
      <c r="CL154" s="497"/>
      <c r="CM154" s="497"/>
    </row>
    <row r="155" spans="76:91" ht="20.100000000000001" customHeight="1" x14ac:dyDescent="0.25">
      <c r="BX155" s="497"/>
      <c r="BY155" s="497"/>
      <c r="BZ155" s="497"/>
      <c r="CA155" s="497"/>
      <c r="CB155" s="497"/>
      <c r="CC155" s="497"/>
      <c r="CD155" s="497"/>
      <c r="CE155" s="497"/>
      <c r="CF155" s="497"/>
      <c r="CG155" s="497"/>
      <c r="CH155" s="497"/>
      <c r="CI155" s="497"/>
      <c r="CJ155" s="497"/>
      <c r="CK155" s="497"/>
      <c r="CL155" s="497"/>
      <c r="CM155" s="497"/>
    </row>
    <row r="156" spans="76:91" ht="20.100000000000001" customHeight="1" x14ac:dyDescent="0.25">
      <c r="BX156" s="497"/>
      <c r="BY156" s="497"/>
      <c r="BZ156" s="497"/>
      <c r="CA156" s="497"/>
      <c r="CB156" s="497"/>
      <c r="CC156" s="497"/>
      <c r="CD156" s="497"/>
      <c r="CE156" s="497"/>
      <c r="CF156" s="497"/>
      <c r="CG156" s="497"/>
      <c r="CH156" s="497"/>
      <c r="CI156" s="497"/>
      <c r="CJ156" s="497"/>
      <c r="CK156" s="497"/>
      <c r="CL156" s="497"/>
      <c r="CM156" s="497"/>
    </row>
    <row r="157" spans="76:91" ht="20.100000000000001" customHeight="1" x14ac:dyDescent="0.25">
      <c r="BX157" s="497"/>
      <c r="BY157" s="497"/>
      <c r="BZ157" s="497"/>
      <c r="CA157" s="497"/>
      <c r="CB157" s="497"/>
      <c r="CC157" s="497"/>
      <c r="CD157" s="497"/>
      <c r="CE157" s="497"/>
      <c r="CF157" s="497"/>
      <c r="CG157" s="497"/>
      <c r="CH157" s="497"/>
      <c r="CI157" s="497"/>
      <c r="CJ157" s="497"/>
      <c r="CK157" s="497"/>
      <c r="CL157" s="497"/>
      <c r="CM157" s="497"/>
    </row>
    <row r="158" spans="76:91" ht="20.100000000000001" customHeight="1" x14ac:dyDescent="0.25">
      <c r="BX158" s="497"/>
      <c r="BY158" s="497"/>
      <c r="BZ158" s="497"/>
      <c r="CA158" s="497"/>
      <c r="CB158" s="497"/>
      <c r="CC158" s="497"/>
      <c r="CD158" s="497"/>
      <c r="CE158" s="497"/>
      <c r="CF158" s="497"/>
      <c r="CG158" s="497"/>
      <c r="CH158" s="497"/>
      <c r="CI158" s="497"/>
      <c r="CJ158" s="497"/>
      <c r="CK158" s="497"/>
      <c r="CL158" s="497"/>
      <c r="CM158" s="497"/>
    </row>
    <row r="159" spans="76:91" ht="20.100000000000001" customHeight="1" x14ac:dyDescent="0.25">
      <c r="BX159" s="497"/>
      <c r="BY159" s="497"/>
      <c r="BZ159" s="497"/>
      <c r="CA159" s="497"/>
      <c r="CB159" s="497"/>
      <c r="CC159" s="497"/>
      <c r="CD159" s="497"/>
      <c r="CE159" s="497"/>
      <c r="CF159" s="497"/>
      <c r="CG159" s="497"/>
      <c r="CH159" s="497"/>
      <c r="CI159" s="497"/>
      <c r="CJ159" s="497"/>
      <c r="CK159" s="497"/>
      <c r="CL159" s="497"/>
      <c r="CM159" s="497"/>
    </row>
    <row r="160" spans="76:91" ht="20.100000000000001" customHeight="1" x14ac:dyDescent="0.25">
      <c r="BX160" s="497"/>
      <c r="BY160" s="497"/>
      <c r="BZ160" s="497"/>
      <c r="CA160" s="497"/>
      <c r="CB160" s="497"/>
      <c r="CC160" s="497"/>
      <c r="CD160" s="497"/>
      <c r="CE160" s="497"/>
      <c r="CF160" s="497"/>
      <c r="CG160" s="497"/>
      <c r="CH160" s="497"/>
      <c r="CI160" s="497"/>
      <c r="CJ160" s="497"/>
      <c r="CK160" s="497"/>
      <c r="CL160" s="497"/>
      <c r="CM160" s="497"/>
    </row>
    <row r="161" spans="76:91" ht="20.100000000000001" customHeight="1" x14ac:dyDescent="0.25">
      <c r="BX161" s="497"/>
      <c r="BY161" s="497"/>
      <c r="BZ161" s="497"/>
      <c r="CA161" s="497"/>
      <c r="CB161" s="497"/>
      <c r="CC161" s="497"/>
      <c r="CD161" s="497"/>
      <c r="CE161" s="497"/>
      <c r="CF161" s="497"/>
      <c r="CG161" s="497"/>
      <c r="CH161" s="497"/>
      <c r="CI161" s="497"/>
      <c r="CJ161" s="497"/>
      <c r="CK161" s="497"/>
      <c r="CL161" s="497"/>
      <c r="CM161" s="497"/>
    </row>
    <row r="162" spans="76:91" ht="20.100000000000001" customHeight="1" x14ac:dyDescent="0.25">
      <c r="BX162" s="497"/>
      <c r="BY162" s="497"/>
      <c r="BZ162" s="497"/>
      <c r="CA162" s="497"/>
      <c r="CB162" s="497"/>
      <c r="CC162" s="497"/>
      <c r="CD162" s="497"/>
      <c r="CE162" s="497"/>
      <c r="CF162" s="497"/>
      <c r="CG162" s="497"/>
      <c r="CH162" s="497"/>
      <c r="CI162" s="497"/>
      <c r="CJ162" s="497"/>
      <c r="CK162" s="497"/>
      <c r="CL162" s="497"/>
      <c r="CM162" s="497"/>
    </row>
    <row r="163" spans="76:91" ht="20.100000000000001" customHeight="1" x14ac:dyDescent="0.25"/>
    <row r="164" spans="76:91" ht="20.100000000000001" customHeight="1" x14ac:dyDescent="0.25"/>
    <row r="165" spans="76:91" ht="20.100000000000001" customHeight="1" x14ac:dyDescent="0.25"/>
    <row r="166" spans="76:91" ht="20.100000000000001" customHeight="1" x14ac:dyDescent="0.25"/>
    <row r="167" spans="76:91" ht="20.100000000000001" customHeight="1" x14ac:dyDescent="0.25"/>
    <row r="168" spans="76:91" ht="20.100000000000001" customHeight="1" x14ac:dyDescent="0.25"/>
    <row r="169" spans="76:91" ht="20.100000000000001" customHeight="1" x14ac:dyDescent="0.25"/>
    <row r="170" spans="76:91" ht="20.100000000000001" customHeight="1" x14ac:dyDescent="0.25"/>
    <row r="171" spans="76:91" ht="20.100000000000001" customHeight="1" x14ac:dyDescent="0.25"/>
    <row r="172" spans="76:91" ht="20.100000000000001" customHeight="1" x14ac:dyDescent="0.25"/>
    <row r="173" spans="76:91" ht="20.100000000000001" customHeight="1" x14ac:dyDescent="0.25"/>
    <row r="174" spans="76:91" ht="20.100000000000001" customHeight="1" x14ac:dyDescent="0.25"/>
    <row r="175" spans="76:91" ht="20.100000000000001" customHeight="1" x14ac:dyDescent="0.25"/>
    <row r="176" spans="76:91" ht="20.100000000000001" customHeight="1" x14ac:dyDescent="0.25"/>
    <row r="177" ht="20.100000000000001" customHeight="1" x14ac:dyDescent="0.25"/>
    <row r="178" ht="20.100000000000001" customHeight="1" x14ac:dyDescent="0.25"/>
    <row r="179" ht="20.100000000000001" customHeight="1" x14ac:dyDescent="0.25"/>
    <row r="180" ht="20.100000000000001" customHeight="1" x14ac:dyDescent="0.25"/>
    <row r="181" ht="20.100000000000001" customHeight="1" x14ac:dyDescent="0.25"/>
    <row r="182" ht="20.100000000000001" customHeight="1" x14ac:dyDescent="0.25"/>
    <row r="183" ht="20.100000000000001" customHeight="1" x14ac:dyDescent="0.25"/>
    <row r="184" ht="20.100000000000001" customHeight="1" x14ac:dyDescent="0.25"/>
    <row r="185" ht="20.100000000000001" customHeight="1" x14ac:dyDescent="0.25"/>
    <row r="186" ht="20.100000000000001" customHeight="1" x14ac:dyDescent="0.25"/>
    <row r="187" ht="20.100000000000001" customHeight="1" x14ac:dyDescent="0.25"/>
    <row r="188" ht="20.100000000000001" customHeight="1" x14ac:dyDescent="0.25"/>
    <row r="189" ht="20.100000000000001" customHeight="1" x14ac:dyDescent="0.25"/>
    <row r="190" ht="20.100000000000001" customHeight="1" x14ac:dyDescent="0.25"/>
    <row r="191" ht="20.100000000000001" customHeight="1" x14ac:dyDescent="0.25"/>
    <row r="192" ht="20.100000000000001" customHeight="1" x14ac:dyDescent="0.25"/>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row r="205" ht="20.100000000000001" customHeight="1" x14ac:dyDescent="0.25"/>
    <row r="206" ht="20.100000000000001" customHeight="1" x14ac:dyDescent="0.25"/>
    <row r="207" ht="20.100000000000001" customHeight="1" x14ac:dyDescent="0.25"/>
    <row r="208"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sheetData>
  <mergeCells count="45">
    <mergeCell ref="BJ1:BR2"/>
    <mergeCell ref="BS1:BT2"/>
    <mergeCell ref="BU1:BU2"/>
    <mergeCell ref="BX1:CM1"/>
    <mergeCell ref="B2:B3"/>
    <mergeCell ref="C2:S3"/>
    <mergeCell ref="Z2:AJ3"/>
    <mergeCell ref="BZ2:CD3"/>
    <mergeCell ref="CH2:CM3"/>
    <mergeCell ref="AL3:AR5"/>
    <mergeCell ref="B4:B5"/>
    <mergeCell ref="C4:S5"/>
    <mergeCell ref="Z4:AJ5"/>
    <mergeCell ref="BZ4:CD5"/>
    <mergeCell ref="CH4:CM5"/>
    <mergeCell ref="B13:B14"/>
    <mergeCell ref="CH6:CM7"/>
    <mergeCell ref="T8:Y8"/>
    <mergeCell ref="Z8:AC8"/>
    <mergeCell ref="AD8:AJ8"/>
    <mergeCell ref="BJ8:BU8"/>
    <mergeCell ref="BX8:CM8"/>
    <mergeCell ref="B6:B7"/>
    <mergeCell ref="C6:S7"/>
    <mergeCell ref="Z6:AJ7"/>
    <mergeCell ref="AL6:AQ7"/>
    <mergeCell ref="BZ6:CD7"/>
    <mergeCell ref="AH12:AI12"/>
    <mergeCell ref="C10:AG10"/>
    <mergeCell ref="C11:E11"/>
    <mergeCell ref="BG15:BH15"/>
    <mergeCell ref="CI28:CM29"/>
    <mergeCell ref="BC30:BE30"/>
    <mergeCell ref="BJ11:BJ12"/>
    <mergeCell ref="BK11:BL11"/>
    <mergeCell ref="BM11:BP11"/>
    <mergeCell ref="BC12:BH13"/>
    <mergeCell ref="CJ13:CL13"/>
    <mergeCell ref="BC14:BE14"/>
    <mergeCell ref="BG14:BH14"/>
    <mergeCell ref="BJ40:BU41"/>
    <mergeCell ref="C54:AJ58"/>
    <mergeCell ref="BJ54:BU56"/>
    <mergeCell ref="BJ75:BU77"/>
    <mergeCell ref="BJ81:BQ81"/>
  </mergeCells>
  <phoneticPr fontId="27" type="noConversion"/>
  <conditionalFormatting sqref="C51:AI51">
    <cfRule type="expression" dxfId="28" priority="104" stopIfTrue="1">
      <formula>WEEKDAY(C51,2)=6</formula>
    </cfRule>
    <cfRule type="expression" dxfId="27" priority="105" stopIfTrue="1">
      <formula>WEEKDAY(C51,2)=7</formula>
    </cfRule>
  </conditionalFormatting>
  <conditionalFormatting sqref="C52:AG52">
    <cfRule type="expression" dxfId="26" priority="9" stopIfTrue="1">
      <formula>WEEKDAY(C14,2)=6</formula>
    </cfRule>
    <cfRule type="expression" dxfId="25" priority="10" stopIfTrue="1">
      <formula>WEEKDAY(C14,2)=7</formula>
    </cfRule>
  </conditionalFormatting>
  <conditionalFormatting sqref="C13:AI14">
    <cfRule type="expression" dxfId="24" priority="6">
      <formula>C$9=VLOOKUP(C$9,$BC$15:$BD$28,2,0)</formula>
    </cfRule>
  </conditionalFormatting>
  <conditionalFormatting sqref="AH13:AI13">
    <cfRule type="expression" dxfId="23" priority="2" stopIfTrue="1">
      <formula>WEEKDAY(AH13,2)=6</formula>
    </cfRule>
    <cfRule type="expression" dxfId="22" priority="3" stopIfTrue="1">
      <formula>WEEKDAY(AH13,2)=7</formula>
    </cfRule>
  </conditionalFormatting>
  <conditionalFormatting sqref="AH14:AI14">
    <cfRule type="expression" dxfId="21" priority="4" stopIfTrue="1">
      <formula>WEEKDAY(AH14,2)=6</formula>
    </cfRule>
    <cfRule type="expression" dxfId="20" priority="5" stopIfTrue="1">
      <formula>WEEKDAY(AH14,2)=7</formula>
    </cfRule>
  </conditionalFormatting>
  <conditionalFormatting sqref="C13:AI13">
    <cfRule type="expression" dxfId="19" priority="11" stopIfTrue="1">
      <formula>WEEKDAY(C14,2)=6</formula>
    </cfRule>
    <cfRule type="expression" dxfId="18" priority="12" stopIfTrue="1">
      <formula>WEEKDAY(C14,2)=7</formula>
    </cfRule>
  </conditionalFormatting>
  <conditionalFormatting sqref="C14:AI14">
    <cfRule type="expression" dxfId="17" priority="101" stopIfTrue="1">
      <formula>WEEKDAY(C14,2)=6</formula>
    </cfRule>
    <cfRule type="expression" dxfId="16" priority="102" stopIfTrue="1">
      <formula>WEEKDAY(C14,2)=7</formula>
    </cfRule>
  </conditionalFormatting>
  <conditionalFormatting sqref="BD15:BD28">
    <cfRule type="expression" dxfId="15" priority="37" stopIfTrue="1">
      <formula>WEEKDAY(BD15,2)=6</formula>
    </cfRule>
    <cfRule type="expression" dxfId="14" priority="38" stopIfTrue="1">
      <formula>WEEKDAY(BD15,2)=7</formula>
    </cfRule>
  </conditionalFormatting>
  <conditionalFormatting sqref="BD31:BD44">
    <cfRule type="expression" dxfId="13" priority="13" stopIfTrue="1">
      <formula>WEEKDAY(BD31,2)=6</formula>
    </cfRule>
    <cfRule type="expression" dxfId="12" priority="14" stopIfTrue="1">
      <formula>WEEKDAY(BD31,2)=7</formula>
    </cfRule>
  </conditionalFormatting>
  <conditionalFormatting sqref="C51:AI52">
    <cfRule type="expression" dxfId="11" priority="1">
      <formula>C$9=VLOOKUP(C$9,$BC$15:$BD$28,2,0)</formula>
    </cfRule>
  </conditionalFormatting>
  <dataValidations count="1">
    <dataValidation type="list" allowBlank="1" showInputMessage="1" showErrorMessage="1" sqref="LE1 VA1 AEW1 AOS1 AYO1 BIK1 BSG1 CCC1 CLY1 CVU1 DFQ1 DPM1 DZI1 EJE1 ETA1 FCW1 FMS1 FWO1 GGK1 GQG1 HAC1 HJY1 HTU1 IDQ1 INM1 IXI1 JHE1 JRA1 KAW1 KKS1 KUO1 LEK1 LOG1 LYC1 MHY1 MRU1 NBQ1 NLM1 NVI1 OFE1 OPA1 OYW1 PIS1 PSO1 QCK1 QMG1 QWC1 RFY1 RPU1 RZQ1 SJM1 STI1 TDE1 TNA1 TWW1 UGS1 UQO1 VAK1 VKG1 VUC1 WDY1 WNU1 WXQ1 LE65538 VA65538 AEW65538 AOS65538 AYO65538 BIK65538 BSG65538 CCC65538 CLY65538 CVU65538 DFQ65538 DPM65538 DZI65538 EJE65538 ETA65538 FCW65538 FMS65538 FWO65538 GGK65538 GQG65538 HAC65538 HJY65538 HTU65538 IDQ65538 INM65538 IXI65538 JHE65538 JRA65538 KAW65538 KKS65538 KUO65538 LEK65538 LOG65538 LYC65538 MHY65538 MRU65538 NBQ65538 NLM65538 NVI65538 OFE65538 OPA65538 OYW65538 PIS65538 PSO65538 QCK65538 QMG65538 QWC65538 RFY65538 RPU65538 RZQ65538 SJM65538 STI65538 TDE65538 TNA65538 TWW65538 UGS65538 UQO65538 VAK65538 VKG65538 VUC65538 WDY65538 WNU65538 WXQ65538 LE131074 VA131074 AEW131074 AOS131074 AYO131074 BIK131074 BSG131074 CCC131074 CLY131074 CVU131074 DFQ131074 DPM131074 DZI131074 EJE131074 ETA131074 FCW131074 FMS131074 FWO131074 GGK131074 GQG131074 HAC131074 HJY131074 HTU131074 IDQ131074 INM131074 IXI131074 JHE131074 JRA131074 KAW131074 KKS131074 KUO131074 LEK131074 LOG131074 LYC131074 MHY131074 MRU131074 NBQ131074 NLM131074 NVI131074 OFE131074 OPA131074 OYW131074 PIS131074 PSO131074 QCK131074 QMG131074 QWC131074 RFY131074 RPU131074 RZQ131074 SJM131074 STI131074 TDE131074 TNA131074 TWW131074 UGS131074 UQO131074 VAK131074 VKG131074 VUC131074 WDY131074 WNU131074 WXQ131074 LE196610 VA196610 AEW196610 AOS196610 AYO196610 BIK196610 BSG196610 CCC196610 CLY196610 CVU196610 DFQ196610 DPM196610 DZI196610 EJE196610 ETA196610 FCW196610 FMS196610 FWO196610 GGK196610 GQG196610 HAC196610 HJY196610 HTU196610 IDQ196610 INM196610 IXI196610 JHE196610 JRA196610 KAW196610 KKS196610 KUO196610 LEK196610 LOG196610 LYC196610 MHY196610 MRU196610 NBQ196610 NLM196610 NVI196610 OFE196610 OPA196610 OYW196610 PIS196610 PSO196610 QCK196610 QMG196610 QWC196610 RFY196610 RPU196610 RZQ196610 SJM196610 STI196610 TDE196610 TNA196610 TWW196610 UGS196610 UQO196610 VAK196610 VKG196610 VUC196610 WDY196610 WNU196610 WXQ196610 LE262146 VA262146 AEW262146 AOS262146 AYO262146 BIK262146 BSG262146 CCC262146 CLY262146 CVU262146 DFQ262146 DPM262146 DZI262146 EJE262146 ETA262146 FCW262146 FMS262146 FWO262146 GGK262146 GQG262146 HAC262146 HJY262146 HTU262146 IDQ262146 INM262146 IXI262146 JHE262146 JRA262146 KAW262146 KKS262146 KUO262146 LEK262146 LOG262146 LYC262146 MHY262146 MRU262146 NBQ262146 NLM262146 NVI262146 OFE262146 OPA262146 OYW262146 PIS262146 PSO262146 QCK262146 QMG262146 QWC262146 RFY262146 RPU262146 RZQ262146 SJM262146 STI262146 TDE262146 TNA262146 TWW262146 UGS262146 UQO262146 VAK262146 VKG262146 VUC262146 WDY262146 WNU262146 WXQ262146 LE327682 VA327682 AEW327682 AOS327682 AYO327682 BIK327682 BSG327682 CCC327682 CLY327682 CVU327682 DFQ327682 DPM327682 DZI327682 EJE327682 ETA327682 FCW327682 FMS327682 FWO327682 GGK327682 GQG327682 HAC327682 HJY327682 HTU327682 IDQ327682 INM327682 IXI327682 JHE327682 JRA327682 KAW327682 KKS327682 KUO327682 LEK327682 LOG327682 LYC327682 MHY327682 MRU327682 NBQ327682 NLM327682 NVI327682 OFE327682 OPA327682 OYW327682 PIS327682 PSO327682 QCK327682 QMG327682 QWC327682 RFY327682 RPU327682 RZQ327682 SJM327682 STI327682 TDE327682 TNA327682 TWW327682 UGS327682 UQO327682 VAK327682 VKG327682 VUC327682 WDY327682 WNU327682 WXQ327682 LE393218 VA393218 AEW393218 AOS393218 AYO393218 BIK393218 BSG393218 CCC393218 CLY393218 CVU393218 DFQ393218 DPM393218 DZI393218 EJE393218 ETA393218 FCW393218 FMS393218 FWO393218 GGK393218 GQG393218 HAC393218 HJY393218 HTU393218 IDQ393218 INM393218 IXI393218 JHE393218 JRA393218 KAW393218 KKS393218 KUO393218 LEK393218 LOG393218 LYC393218 MHY393218 MRU393218 NBQ393218 NLM393218 NVI393218 OFE393218 OPA393218 OYW393218 PIS393218 PSO393218 QCK393218 QMG393218 QWC393218 RFY393218 RPU393218 RZQ393218 SJM393218 STI393218 TDE393218 TNA393218 TWW393218 UGS393218 UQO393218 VAK393218 VKG393218 VUC393218 WDY393218 WNU393218 WXQ393218 LE458754 VA458754 AEW458754 AOS458754 AYO458754 BIK458754 BSG458754 CCC458754 CLY458754 CVU458754 DFQ458754 DPM458754 DZI458754 EJE458754 ETA458754 FCW458754 FMS458754 FWO458754 GGK458754 GQG458754 HAC458754 HJY458754 HTU458754 IDQ458754 INM458754 IXI458754 JHE458754 JRA458754 KAW458754 KKS458754 KUO458754 LEK458754 LOG458754 LYC458754 MHY458754 MRU458754 NBQ458754 NLM458754 NVI458754 OFE458754 OPA458754 OYW458754 PIS458754 PSO458754 QCK458754 QMG458754 QWC458754 RFY458754 RPU458754 RZQ458754 SJM458754 STI458754 TDE458754 TNA458754 TWW458754 UGS458754 UQO458754 VAK458754 VKG458754 VUC458754 WDY458754 WNU458754 WXQ458754 LE524290 VA524290 AEW524290 AOS524290 AYO524290 BIK524290 BSG524290 CCC524290 CLY524290 CVU524290 DFQ524290 DPM524290 DZI524290 EJE524290 ETA524290 FCW524290 FMS524290 FWO524290 GGK524290 GQG524290 HAC524290 HJY524290 HTU524290 IDQ524290 INM524290 IXI524290 JHE524290 JRA524290 KAW524290 KKS524290 KUO524290 LEK524290 LOG524290 LYC524290 MHY524290 MRU524290 NBQ524290 NLM524290 NVI524290 OFE524290 OPA524290 OYW524290 PIS524290 PSO524290 QCK524290 QMG524290 QWC524290 RFY524290 RPU524290 RZQ524290 SJM524290 STI524290 TDE524290 TNA524290 TWW524290 UGS524290 UQO524290 VAK524290 VKG524290 VUC524290 WDY524290 WNU524290 WXQ524290 LE589826 VA589826 AEW589826 AOS589826 AYO589826 BIK589826 BSG589826 CCC589826 CLY589826 CVU589826 DFQ589826 DPM589826 DZI589826 EJE589826 ETA589826 FCW589826 FMS589826 FWO589826 GGK589826 GQG589826 HAC589826 HJY589826 HTU589826 IDQ589826 INM589826 IXI589826 JHE589826 JRA589826 KAW589826 KKS589826 KUO589826 LEK589826 LOG589826 LYC589826 MHY589826 MRU589826 NBQ589826 NLM589826 NVI589826 OFE589826 OPA589826 OYW589826 PIS589826 PSO589826 QCK589826 QMG589826 QWC589826 RFY589826 RPU589826 RZQ589826 SJM589826 STI589826 TDE589826 TNA589826 TWW589826 UGS589826 UQO589826 VAK589826 VKG589826 VUC589826 WDY589826 WNU589826 WXQ589826 LE655362 VA655362 AEW655362 AOS655362 AYO655362 BIK655362 BSG655362 CCC655362 CLY655362 CVU655362 DFQ655362 DPM655362 DZI655362 EJE655362 ETA655362 FCW655362 FMS655362 FWO655362 GGK655362 GQG655362 HAC655362 HJY655362 HTU655362 IDQ655362 INM655362 IXI655362 JHE655362 JRA655362 KAW655362 KKS655362 KUO655362 LEK655362 LOG655362 LYC655362 MHY655362 MRU655362 NBQ655362 NLM655362 NVI655362 OFE655362 OPA655362 OYW655362 PIS655362 PSO655362 QCK655362 QMG655362 QWC655362 RFY655362 RPU655362 RZQ655362 SJM655362 STI655362 TDE655362 TNA655362 TWW655362 UGS655362 UQO655362 VAK655362 VKG655362 VUC655362 WDY655362 WNU655362 WXQ655362 LE720898 VA720898 AEW720898 AOS720898 AYO720898 BIK720898 BSG720898 CCC720898 CLY720898 CVU720898 DFQ720898 DPM720898 DZI720898 EJE720898 ETA720898 FCW720898 FMS720898 FWO720898 GGK720898 GQG720898 HAC720898 HJY720898 HTU720898 IDQ720898 INM720898 IXI720898 JHE720898 JRA720898 KAW720898 KKS720898 KUO720898 LEK720898 LOG720898 LYC720898 MHY720898 MRU720898 NBQ720898 NLM720898 NVI720898 OFE720898 OPA720898 OYW720898 PIS720898 PSO720898 QCK720898 QMG720898 QWC720898 RFY720898 RPU720898 RZQ720898 SJM720898 STI720898 TDE720898 TNA720898 TWW720898 UGS720898 UQO720898 VAK720898 VKG720898 VUC720898 WDY720898 WNU720898 WXQ720898 LE786434 VA786434 AEW786434 AOS786434 AYO786434 BIK786434 BSG786434 CCC786434 CLY786434 CVU786434 DFQ786434 DPM786434 DZI786434 EJE786434 ETA786434 FCW786434 FMS786434 FWO786434 GGK786434 GQG786434 HAC786434 HJY786434 HTU786434 IDQ786434 INM786434 IXI786434 JHE786434 JRA786434 KAW786434 KKS786434 KUO786434 LEK786434 LOG786434 LYC786434 MHY786434 MRU786434 NBQ786434 NLM786434 NVI786434 OFE786434 OPA786434 OYW786434 PIS786434 PSO786434 QCK786434 QMG786434 QWC786434 RFY786434 RPU786434 RZQ786434 SJM786434 STI786434 TDE786434 TNA786434 TWW786434 UGS786434 UQO786434 VAK786434 VKG786434 VUC786434 WDY786434 WNU786434 WXQ786434 LE851970 VA851970 AEW851970 AOS851970 AYO851970 BIK851970 BSG851970 CCC851970 CLY851970 CVU851970 DFQ851970 DPM851970 DZI851970 EJE851970 ETA851970 FCW851970 FMS851970 FWO851970 GGK851970 GQG851970 HAC851970 HJY851970 HTU851970 IDQ851970 INM851970 IXI851970 JHE851970 JRA851970 KAW851970 KKS851970 KUO851970 LEK851970 LOG851970 LYC851970 MHY851970 MRU851970 NBQ851970 NLM851970 NVI851970 OFE851970 OPA851970 OYW851970 PIS851970 PSO851970 QCK851970 QMG851970 QWC851970 RFY851970 RPU851970 RZQ851970 SJM851970 STI851970 TDE851970 TNA851970 TWW851970 UGS851970 UQO851970 VAK851970 VKG851970 VUC851970 WDY851970 WNU851970 WXQ851970 LE917506 VA917506 AEW917506 AOS917506 AYO917506 BIK917506 BSG917506 CCC917506 CLY917506 CVU917506 DFQ917506 DPM917506 DZI917506 EJE917506 ETA917506 FCW917506 FMS917506 FWO917506 GGK917506 GQG917506 HAC917506 HJY917506 HTU917506 IDQ917506 INM917506 IXI917506 JHE917506 JRA917506 KAW917506 KKS917506 KUO917506 LEK917506 LOG917506 LYC917506 MHY917506 MRU917506 NBQ917506 NLM917506 NVI917506 OFE917506 OPA917506 OYW917506 PIS917506 PSO917506 QCK917506 QMG917506 QWC917506 RFY917506 RPU917506 RZQ917506 SJM917506 STI917506 TDE917506 TNA917506 TWW917506 UGS917506 UQO917506 VAK917506 VKG917506 VUC917506 WDY917506 WNU917506 WXQ917506 LE983042 VA983042 AEW983042 AOS983042 AYO983042 BIK983042 BSG983042 CCC983042 CLY983042 CVU983042 DFQ983042 DPM983042 DZI983042 EJE983042 ETA983042 FCW983042 FMS983042 FWO983042 GGK983042 GQG983042 HAC983042 HJY983042 HTU983042 IDQ983042 INM983042 IXI983042 JHE983042 JRA983042 KAW983042 KKS983042 KUO983042 LEK983042 LOG983042 LYC983042 MHY983042 MRU983042 NBQ983042 NLM983042 NVI983042 OFE983042 OPA983042 OYW983042 PIS983042 PSO983042 QCK983042 QMG983042 QWC983042 RFY983042 RPU983042 RZQ983042 SJM983042 STI983042 TDE983042 TNA983042 TWW983042 UGS983042 UQO983042 VAK983042 VKG983042 VUC983042 WDY983042 WNU983042 WXQ983042" xr:uid="{C7597DFE-4570-4553-BA80-888E34D15213}">
      <formula1>"2008,2009,2010,2011,2012,2013,2014,2015"</formula1>
    </dataValidation>
  </dataValidations>
  <hyperlinks>
    <hyperlink ref="R87" r:id="rId1" location=":~:text=La%20dur%C3%A9e%20du%20travail%20effectif,suppl%C3%A9mentaires%20susceptibles%20d'%C3%AAtre%20" xr:uid="{864B738E-8BDF-4FE9-8C55-AAD8A3A6A375}"/>
    <hyperlink ref="R90" r:id="rId2" xr:uid="{6C08A979-FF0E-470F-97EC-A264620BAB2A}"/>
    <hyperlink ref="BF8" r:id="rId3" xr:uid="{87E42DA1-BFED-45E4-9164-E5453090D1F6}"/>
    <hyperlink ref="BF9" r:id="rId4" xr:uid="{7B39E97D-D72D-4FB1-9C0E-B6CB831FCE9D}"/>
    <hyperlink ref="AW8" r:id="rId5" xr:uid="{DC723555-B36F-4E3A-8508-6949C2202363}"/>
    <hyperlink ref="AU10" r:id="rId6" xr:uid="{72DDF7F0-CD84-4706-B523-8809223B215D}"/>
  </hyperlinks>
  <printOptions horizontalCentered="1"/>
  <pageMargins left="0" right="0" top="0" bottom="0" header="0" footer="0"/>
  <pageSetup paperSize="9" scale="32" orientation="landscape" r:id="rId7"/>
  <headerFooter alignWithMargins="0">
    <oddFooter>&amp;R&amp;8&amp;F-&amp;A</oddFooter>
  </headerFooter>
  <drawing r:id="rId8"/>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68AC-3DEA-4EE4-9C69-378CFE49926C}">
  <sheetPr codeName="Feuil23"/>
  <dimension ref="A1:AH111"/>
  <sheetViews>
    <sheetView showZeros="0" topLeftCell="W1" zoomScaleNormal="100" workbookViewId="0">
      <selection activeCell="AG27" sqref="AG27"/>
    </sheetView>
  </sheetViews>
  <sheetFormatPr baseColWidth="10" defaultColWidth="7.5" defaultRowHeight="15.75" x14ac:dyDescent="0.25"/>
  <cols>
    <col min="1" max="1" width="2.625" style="355" customWidth="1"/>
    <col min="2" max="2" width="5" style="355" customWidth="1"/>
    <col min="3" max="3" width="6.25" style="355" customWidth="1"/>
    <col min="4" max="4" width="5" style="355" customWidth="1"/>
    <col min="5" max="5" width="6.25" style="355" customWidth="1"/>
    <col min="6" max="6" width="5" style="355" customWidth="1"/>
    <col min="7" max="7" width="6.25" style="355" customWidth="1"/>
    <col min="8" max="8" width="5" style="355" customWidth="1"/>
    <col min="9" max="9" width="6.25" style="355" customWidth="1"/>
    <col min="10" max="10" width="5" style="355" customWidth="1"/>
    <col min="11" max="11" width="6.25" style="355" customWidth="1"/>
    <col min="12" max="12" width="5" style="355" customWidth="1"/>
    <col min="13" max="13" width="6.25" style="355" customWidth="1"/>
    <col min="14" max="14" width="5" style="355" customWidth="1"/>
    <col min="15" max="15" width="6.25" style="355" customWidth="1"/>
    <col min="16" max="16" width="8.5" style="355" customWidth="1"/>
    <col min="17" max="17" width="1.25" style="355" customWidth="1"/>
    <col min="18" max="18" width="7.5" style="355"/>
    <col min="19" max="19" width="19.375" style="355" bestFit="1" customWidth="1"/>
    <col min="20" max="28" width="7.5" style="355"/>
    <col min="29" max="29" width="17.5" customWidth="1"/>
    <col min="30" max="30" width="42.25" customWidth="1"/>
    <col min="31" max="31" width="27.75" customWidth="1"/>
    <col min="32" max="32" width="11"/>
    <col min="33" max="33" width="18" customWidth="1"/>
    <col min="34" max="34" width="21.625" customWidth="1"/>
    <col min="35" max="207" width="7.5" style="355"/>
    <col min="208" max="208" width="1.25" style="355" customWidth="1"/>
    <col min="209" max="209" width="5" style="355" customWidth="1"/>
    <col min="210" max="210" width="6.25" style="355" customWidth="1"/>
    <col min="211" max="211" width="5" style="355" customWidth="1"/>
    <col min="212" max="212" width="6.25" style="355" customWidth="1"/>
    <col min="213" max="213" width="5" style="355" customWidth="1"/>
    <col min="214" max="214" width="6.25" style="355" customWidth="1"/>
    <col min="215" max="215" width="5" style="355" customWidth="1"/>
    <col min="216" max="216" width="6.25" style="355" customWidth="1"/>
    <col min="217" max="217" width="5" style="355" customWidth="1"/>
    <col min="218" max="218" width="6.25" style="355" customWidth="1"/>
    <col min="219" max="219" width="5" style="355" customWidth="1"/>
    <col min="220" max="220" width="6.25" style="355" customWidth="1"/>
    <col min="221" max="221" width="5" style="355" customWidth="1"/>
    <col min="222" max="223" width="6.25" style="355" customWidth="1"/>
    <col min="224" max="224" width="1.25" style="355" customWidth="1"/>
    <col min="225" max="463" width="7.5" style="355"/>
    <col min="464" max="464" width="1.25" style="355" customWidth="1"/>
    <col min="465" max="465" width="5" style="355" customWidth="1"/>
    <col min="466" max="466" width="6.25" style="355" customWidth="1"/>
    <col min="467" max="467" width="5" style="355" customWidth="1"/>
    <col min="468" max="468" width="6.25" style="355" customWidth="1"/>
    <col min="469" max="469" width="5" style="355" customWidth="1"/>
    <col min="470" max="470" width="6.25" style="355" customWidth="1"/>
    <col min="471" max="471" width="5" style="355" customWidth="1"/>
    <col min="472" max="472" width="6.25" style="355" customWidth="1"/>
    <col min="473" max="473" width="5" style="355" customWidth="1"/>
    <col min="474" max="474" width="6.25" style="355" customWidth="1"/>
    <col min="475" max="475" width="5" style="355" customWidth="1"/>
    <col min="476" max="476" width="6.25" style="355" customWidth="1"/>
    <col min="477" max="477" width="5" style="355" customWidth="1"/>
    <col min="478" max="479" width="6.25" style="355" customWidth="1"/>
    <col min="480" max="480" width="1.25" style="355" customWidth="1"/>
    <col min="481" max="719" width="7.5" style="355"/>
    <col min="720" max="720" width="1.25" style="355" customWidth="1"/>
    <col min="721" max="721" width="5" style="355" customWidth="1"/>
    <col min="722" max="722" width="6.25" style="355" customWidth="1"/>
    <col min="723" max="723" width="5" style="355" customWidth="1"/>
    <col min="724" max="724" width="6.25" style="355" customWidth="1"/>
    <col min="725" max="725" width="5" style="355" customWidth="1"/>
    <col min="726" max="726" width="6.25" style="355" customWidth="1"/>
    <col min="727" max="727" width="5" style="355" customWidth="1"/>
    <col min="728" max="728" width="6.25" style="355" customWidth="1"/>
    <col min="729" max="729" width="5" style="355" customWidth="1"/>
    <col min="730" max="730" width="6.25" style="355" customWidth="1"/>
    <col min="731" max="731" width="5" style="355" customWidth="1"/>
    <col min="732" max="732" width="6.25" style="355" customWidth="1"/>
    <col min="733" max="733" width="5" style="355" customWidth="1"/>
    <col min="734" max="735" width="6.25" style="355" customWidth="1"/>
    <col min="736" max="736" width="1.25" style="355" customWidth="1"/>
    <col min="737" max="975" width="7.5" style="355"/>
    <col min="976" max="976" width="1.25" style="355" customWidth="1"/>
    <col min="977" max="977" width="5" style="355" customWidth="1"/>
    <col min="978" max="978" width="6.25" style="355" customWidth="1"/>
    <col min="979" max="979" width="5" style="355" customWidth="1"/>
    <col min="980" max="980" width="6.25" style="355" customWidth="1"/>
    <col min="981" max="981" width="5" style="355" customWidth="1"/>
    <col min="982" max="982" width="6.25" style="355" customWidth="1"/>
    <col min="983" max="983" width="5" style="355" customWidth="1"/>
    <col min="984" max="984" width="6.25" style="355" customWidth="1"/>
    <col min="985" max="985" width="5" style="355" customWidth="1"/>
    <col min="986" max="986" width="6.25" style="355" customWidth="1"/>
    <col min="987" max="987" width="5" style="355" customWidth="1"/>
    <col min="988" max="988" width="6.25" style="355" customWidth="1"/>
    <col min="989" max="989" width="5" style="355" customWidth="1"/>
    <col min="990" max="991" width="6.25" style="355" customWidth="1"/>
    <col min="992" max="992" width="1.25" style="355" customWidth="1"/>
    <col min="993" max="1231" width="7.5" style="355"/>
    <col min="1232" max="1232" width="1.25" style="355" customWidth="1"/>
    <col min="1233" max="1233" width="5" style="355" customWidth="1"/>
    <col min="1234" max="1234" width="6.25" style="355" customWidth="1"/>
    <col min="1235" max="1235" width="5" style="355" customWidth="1"/>
    <col min="1236" max="1236" width="6.25" style="355" customWidth="1"/>
    <col min="1237" max="1237" width="5" style="355" customWidth="1"/>
    <col min="1238" max="1238" width="6.25" style="355" customWidth="1"/>
    <col min="1239" max="1239" width="5" style="355" customWidth="1"/>
    <col min="1240" max="1240" width="6.25" style="355" customWidth="1"/>
    <col min="1241" max="1241" width="5" style="355" customWidth="1"/>
    <col min="1242" max="1242" width="6.25" style="355" customWidth="1"/>
    <col min="1243" max="1243" width="5" style="355" customWidth="1"/>
    <col min="1244" max="1244" width="6.25" style="355" customWidth="1"/>
    <col min="1245" max="1245" width="5" style="355" customWidth="1"/>
    <col min="1246" max="1247" width="6.25" style="355" customWidth="1"/>
    <col min="1248" max="1248" width="1.25" style="355" customWidth="1"/>
    <col min="1249" max="1487" width="7.5" style="355"/>
    <col min="1488" max="1488" width="1.25" style="355" customWidth="1"/>
    <col min="1489" max="1489" width="5" style="355" customWidth="1"/>
    <col min="1490" max="1490" width="6.25" style="355" customWidth="1"/>
    <col min="1491" max="1491" width="5" style="355" customWidth="1"/>
    <col min="1492" max="1492" width="6.25" style="355" customWidth="1"/>
    <col min="1493" max="1493" width="5" style="355" customWidth="1"/>
    <col min="1494" max="1494" width="6.25" style="355" customWidth="1"/>
    <col min="1495" max="1495" width="5" style="355" customWidth="1"/>
    <col min="1496" max="1496" width="6.25" style="355" customWidth="1"/>
    <col min="1497" max="1497" width="5" style="355" customWidth="1"/>
    <col min="1498" max="1498" width="6.25" style="355" customWidth="1"/>
    <col min="1499" max="1499" width="5" style="355" customWidth="1"/>
    <col min="1500" max="1500" width="6.25" style="355" customWidth="1"/>
    <col min="1501" max="1501" width="5" style="355" customWidth="1"/>
    <col min="1502" max="1503" width="6.25" style="355" customWidth="1"/>
    <col min="1504" max="1504" width="1.25" style="355" customWidth="1"/>
    <col min="1505" max="1743" width="7.5" style="355"/>
    <col min="1744" max="1744" width="1.25" style="355" customWidth="1"/>
    <col min="1745" max="1745" width="5" style="355" customWidth="1"/>
    <col min="1746" max="1746" width="6.25" style="355" customWidth="1"/>
    <col min="1747" max="1747" width="5" style="355" customWidth="1"/>
    <col min="1748" max="1748" width="6.25" style="355" customWidth="1"/>
    <col min="1749" max="1749" width="5" style="355" customWidth="1"/>
    <col min="1750" max="1750" width="6.25" style="355" customWidth="1"/>
    <col min="1751" max="1751" width="5" style="355" customWidth="1"/>
    <col min="1752" max="1752" width="6.25" style="355" customWidth="1"/>
    <col min="1753" max="1753" width="5" style="355" customWidth="1"/>
    <col min="1754" max="1754" width="6.25" style="355" customWidth="1"/>
    <col min="1755" max="1755" width="5" style="355" customWidth="1"/>
    <col min="1756" max="1756" width="6.25" style="355" customWidth="1"/>
    <col min="1757" max="1757" width="5" style="355" customWidth="1"/>
    <col min="1758" max="1759" width="6.25" style="355" customWidth="1"/>
    <col min="1760" max="1760" width="1.25" style="355" customWidth="1"/>
    <col min="1761" max="1999" width="7.5" style="355"/>
    <col min="2000" max="2000" width="1.25" style="355" customWidth="1"/>
    <col min="2001" max="2001" width="5" style="355" customWidth="1"/>
    <col min="2002" max="2002" width="6.25" style="355" customWidth="1"/>
    <col min="2003" max="2003" width="5" style="355" customWidth="1"/>
    <col min="2004" max="2004" width="6.25" style="355" customWidth="1"/>
    <col min="2005" max="2005" width="5" style="355" customWidth="1"/>
    <col min="2006" max="2006" width="6.25" style="355" customWidth="1"/>
    <col min="2007" max="2007" width="5" style="355" customWidth="1"/>
    <col min="2008" max="2008" width="6.25" style="355" customWidth="1"/>
    <col min="2009" max="2009" width="5" style="355" customWidth="1"/>
    <col min="2010" max="2010" width="6.25" style="355" customWidth="1"/>
    <col min="2011" max="2011" width="5" style="355" customWidth="1"/>
    <col min="2012" max="2012" width="6.25" style="355" customWidth="1"/>
    <col min="2013" max="2013" width="5" style="355" customWidth="1"/>
    <col min="2014" max="2015" width="6.25" style="355" customWidth="1"/>
    <col min="2016" max="2016" width="1.25" style="355" customWidth="1"/>
    <col min="2017" max="2255" width="7.5" style="355"/>
    <col min="2256" max="2256" width="1.25" style="355" customWidth="1"/>
    <col min="2257" max="2257" width="5" style="355" customWidth="1"/>
    <col min="2258" max="2258" width="6.25" style="355" customWidth="1"/>
    <col min="2259" max="2259" width="5" style="355" customWidth="1"/>
    <col min="2260" max="2260" width="6.25" style="355" customWidth="1"/>
    <col min="2261" max="2261" width="5" style="355" customWidth="1"/>
    <col min="2262" max="2262" width="6.25" style="355" customWidth="1"/>
    <col min="2263" max="2263" width="5" style="355" customWidth="1"/>
    <col min="2264" max="2264" width="6.25" style="355" customWidth="1"/>
    <col min="2265" max="2265" width="5" style="355" customWidth="1"/>
    <col min="2266" max="2266" width="6.25" style="355" customWidth="1"/>
    <col min="2267" max="2267" width="5" style="355" customWidth="1"/>
    <col min="2268" max="2268" width="6.25" style="355" customWidth="1"/>
    <col min="2269" max="2269" width="5" style="355" customWidth="1"/>
    <col min="2270" max="2271" width="6.25" style="355" customWidth="1"/>
    <col min="2272" max="2272" width="1.25" style="355" customWidth="1"/>
    <col min="2273" max="2511" width="7.5" style="355"/>
    <col min="2512" max="2512" width="1.25" style="355" customWidth="1"/>
    <col min="2513" max="2513" width="5" style="355" customWidth="1"/>
    <col min="2514" max="2514" width="6.25" style="355" customWidth="1"/>
    <col min="2515" max="2515" width="5" style="355" customWidth="1"/>
    <col min="2516" max="2516" width="6.25" style="355" customWidth="1"/>
    <col min="2517" max="2517" width="5" style="355" customWidth="1"/>
    <col min="2518" max="2518" width="6.25" style="355" customWidth="1"/>
    <col min="2519" max="2519" width="5" style="355" customWidth="1"/>
    <col min="2520" max="2520" width="6.25" style="355" customWidth="1"/>
    <col min="2521" max="2521" width="5" style="355" customWidth="1"/>
    <col min="2522" max="2522" width="6.25" style="355" customWidth="1"/>
    <col min="2523" max="2523" width="5" style="355" customWidth="1"/>
    <col min="2524" max="2524" width="6.25" style="355" customWidth="1"/>
    <col min="2525" max="2525" width="5" style="355" customWidth="1"/>
    <col min="2526" max="2527" width="6.25" style="355" customWidth="1"/>
    <col min="2528" max="2528" width="1.25" style="355" customWidth="1"/>
    <col min="2529" max="2767" width="7.5" style="355"/>
    <col min="2768" max="2768" width="1.25" style="355" customWidth="1"/>
    <col min="2769" max="2769" width="5" style="355" customWidth="1"/>
    <col min="2770" max="2770" width="6.25" style="355" customWidth="1"/>
    <col min="2771" max="2771" width="5" style="355" customWidth="1"/>
    <col min="2772" max="2772" width="6.25" style="355" customWidth="1"/>
    <col min="2773" max="2773" width="5" style="355" customWidth="1"/>
    <col min="2774" max="2774" width="6.25" style="355" customWidth="1"/>
    <col min="2775" max="2775" width="5" style="355" customWidth="1"/>
    <col min="2776" max="2776" width="6.25" style="355" customWidth="1"/>
    <col min="2777" max="2777" width="5" style="355" customWidth="1"/>
    <col min="2778" max="2778" width="6.25" style="355" customWidth="1"/>
    <col min="2779" max="2779" width="5" style="355" customWidth="1"/>
    <col min="2780" max="2780" width="6.25" style="355" customWidth="1"/>
    <col min="2781" max="2781" width="5" style="355" customWidth="1"/>
    <col min="2782" max="2783" width="6.25" style="355" customWidth="1"/>
    <col min="2784" max="2784" width="1.25" style="355" customWidth="1"/>
    <col min="2785" max="3023" width="7.5" style="355"/>
    <col min="3024" max="3024" width="1.25" style="355" customWidth="1"/>
    <col min="3025" max="3025" width="5" style="355" customWidth="1"/>
    <col min="3026" max="3026" width="6.25" style="355" customWidth="1"/>
    <col min="3027" max="3027" width="5" style="355" customWidth="1"/>
    <col min="3028" max="3028" width="6.25" style="355" customWidth="1"/>
    <col min="3029" max="3029" width="5" style="355" customWidth="1"/>
    <col min="3030" max="3030" width="6.25" style="355" customWidth="1"/>
    <col min="3031" max="3031" width="5" style="355" customWidth="1"/>
    <col min="3032" max="3032" width="6.25" style="355" customWidth="1"/>
    <col min="3033" max="3033" width="5" style="355" customWidth="1"/>
    <col min="3034" max="3034" width="6.25" style="355" customWidth="1"/>
    <col min="3035" max="3035" width="5" style="355" customWidth="1"/>
    <col min="3036" max="3036" width="6.25" style="355" customWidth="1"/>
    <col min="3037" max="3037" width="5" style="355" customWidth="1"/>
    <col min="3038" max="3039" width="6.25" style="355" customWidth="1"/>
    <col min="3040" max="3040" width="1.25" style="355" customWidth="1"/>
    <col min="3041" max="3279" width="7.5" style="355"/>
    <col min="3280" max="3280" width="1.25" style="355" customWidth="1"/>
    <col min="3281" max="3281" width="5" style="355" customWidth="1"/>
    <col min="3282" max="3282" width="6.25" style="355" customWidth="1"/>
    <col min="3283" max="3283" width="5" style="355" customWidth="1"/>
    <col min="3284" max="3284" width="6.25" style="355" customWidth="1"/>
    <col min="3285" max="3285" width="5" style="355" customWidth="1"/>
    <col min="3286" max="3286" width="6.25" style="355" customWidth="1"/>
    <col min="3287" max="3287" width="5" style="355" customWidth="1"/>
    <col min="3288" max="3288" width="6.25" style="355" customWidth="1"/>
    <col min="3289" max="3289" width="5" style="355" customWidth="1"/>
    <col min="3290" max="3290" width="6.25" style="355" customWidth="1"/>
    <col min="3291" max="3291" width="5" style="355" customWidth="1"/>
    <col min="3292" max="3292" width="6.25" style="355" customWidth="1"/>
    <col min="3293" max="3293" width="5" style="355" customWidth="1"/>
    <col min="3294" max="3295" width="6.25" style="355" customWidth="1"/>
    <col min="3296" max="3296" width="1.25" style="355" customWidth="1"/>
    <col min="3297" max="3535" width="7.5" style="355"/>
    <col min="3536" max="3536" width="1.25" style="355" customWidth="1"/>
    <col min="3537" max="3537" width="5" style="355" customWidth="1"/>
    <col min="3538" max="3538" width="6.25" style="355" customWidth="1"/>
    <col min="3539" max="3539" width="5" style="355" customWidth="1"/>
    <col min="3540" max="3540" width="6.25" style="355" customWidth="1"/>
    <col min="3541" max="3541" width="5" style="355" customWidth="1"/>
    <col min="3542" max="3542" width="6.25" style="355" customWidth="1"/>
    <col min="3543" max="3543" width="5" style="355" customWidth="1"/>
    <col min="3544" max="3544" width="6.25" style="355" customWidth="1"/>
    <col min="3545" max="3545" width="5" style="355" customWidth="1"/>
    <col min="3546" max="3546" width="6.25" style="355" customWidth="1"/>
    <col min="3547" max="3547" width="5" style="355" customWidth="1"/>
    <col min="3548" max="3548" width="6.25" style="355" customWidth="1"/>
    <col min="3549" max="3549" width="5" style="355" customWidth="1"/>
    <col min="3550" max="3551" width="6.25" style="355" customWidth="1"/>
    <col min="3552" max="3552" width="1.25" style="355" customWidth="1"/>
    <col min="3553" max="3791" width="7.5" style="355"/>
    <col min="3792" max="3792" width="1.25" style="355" customWidth="1"/>
    <col min="3793" max="3793" width="5" style="355" customWidth="1"/>
    <col min="3794" max="3794" width="6.25" style="355" customWidth="1"/>
    <col min="3795" max="3795" width="5" style="355" customWidth="1"/>
    <col min="3796" max="3796" width="6.25" style="355" customWidth="1"/>
    <col min="3797" max="3797" width="5" style="355" customWidth="1"/>
    <col min="3798" max="3798" width="6.25" style="355" customWidth="1"/>
    <col min="3799" max="3799" width="5" style="355" customWidth="1"/>
    <col min="3800" max="3800" width="6.25" style="355" customWidth="1"/>
    <col min="3801" max="3801" width="5" style="355" customWidth="1"/>
    <col min="3802" max="3802" width="6.25" style="355" customWidth="1"/>
    <col min="3803" max="3803" width="5" style="355" customWidth="1"/>
    <col min="3804" max="3804" width="6.25" style="355" customWidth="1"/>
    <col min="3805" max="3805" width="5" style="355" customWidth="1"/>
    <col min="3806" max="3807" width="6.25" style="355" customWidth="1"/>
    <col min="3808" max="3808" width="1.25" style="355" customWidth="1"/>
    <col min="3809" max="4047" width="7.5" style="355"/>
    <col min="4048" max="4048" width="1.25" style="355" customWidth="1"/>
    <col min="4049" max="4049" width="5" style="355" customWidth="1"/>
    <col min="4050" max="4050" width="6.25" style="355" customWidth="1"/>
    <col min="4051" max="4051" width="5" style="355" customWidth="1"/>
    <col min="4052" max="4052" width="6.25" style="355" customWidth="1"/>
    <col min="4053" max="4053" width="5" style="355" customWidth="1"/>
    <col min="4054" max="4054" width="6.25" style="355" customWidth="1"/>
    <col min="4055" max="4055" width="5" style="355" customWidth="1"/>
    <col min="4056" max="4056" width="6.25" style="355" customWidth="1"/>
    <col min="4057" max="4057" width="5" style="355" customWidth="1"/>
    <col min="4058" max="4058" width="6.25" style="355" customWidth="1"/>
    <col min="4059" max="4059" width="5" style="355" customWidth="1"/>
    <col min="4060" max="4060" width="6.25" style="355" customWidth="1"/>
    <col min="4061" max="4061" width="5" style="355" customWidth="1"/>
    <col min="4062" max="4063" width="6.25" style="355" customWidth="1"/>
    <col min="4064" max="4064" width="1.25" style="355" customWidth="1"/>
    <col min="4065" max="4303" width="7.5" style="355"/>
    <col min="4304" max="4304" width="1.25" style="355" customWidth="1"/>
    <col min="4305" max="4305" width="5" style="355" customWidth="1"/>
    <col min="4306" max="4306" width="6.25" style="355" customWidth="1"/>
    <col min="4307" max="4307" width="5" style="355" customWidth="1"/>
    <col min="4308" max="4308" width="6.25" style="355" customWidth="1"/>
    <col min="4309" max="4309" width="5" style="355" customWidth="1"/>
    <col min="4310" max="4310" width="6.25" style="355" customWidth="1"/>
    <col min="4311" max="4311" width="5" style="355" customWidth="1"/>
    <col min="4312" max="4312" width="6.25" style="355" customWidth="1"/>
    <col min="4313" max="4313" width="5" style="355" customWidth="1"/>
    <col min="4314" max="4314" width="6.25" style="355" customWidth="1"/>
    <col min="4315" max="4315" width="5" style="355" customWidth="1"/>
    <col min="4316" max="4316" width="6.25" style="355" customWidth="1"/>
    <col min="4317" max="4317" width="5" style="355" customWidth="1"/>
    <col min="4318" max="4319" width="6.25" style="355" customWidth="1"/>
    <col min="4320" max="4320" width="1.25" style="355" customWidth="1"/>
    <col min="4321" max="4559" width="7.5" style="355"/>
    <col min="4560" max="4560" width="1.25" style="355" customWidth="1"/>
    <col min="4561" max="4561" width="5" style="355" customWidth="1"/>
    <col min="4562" max="4562" width="6.25" style="355" customWidth="1"/>
    <col min="4563" max="4563" width="5" style="355" customWidth="1"/>
    <col min="4564" max="4564" width="6.25" style="355" customWidth="1"/>
    <col min="4565" max="4565" width="5" style="355" customWidth="1"/>
    <col min="4566" max="4566" width="6.25" style="355" customWidth="1"/>
    <col min="4567" max="4567" width="5" style="355" customWidth="1"/>
    <col min="4568" max="4568" width="6.25" style="355" customWidth="1"/>
    <col min="4569" max="4569" width="5" style="355" customWidth="1"/>
    <col min="4570" max="4570" width="6.25" style="355" customWidth="1"/>
    <col min="4571" max="4571" width="5" style="355" customWidth="1"/>
    <col min="4572" max="4572" width="6.25" style="355" customWidth="1"/>
    <col min="4573" max="4573" width="5" style="355" customWidth="1"/>
    <col min="4574" max="4575" width="6.25" style="355" customWidth="1"/>
    <col min="4576" max="4576" width="1.25" style="355" customWidth="1"/>
    <col min="4577" max="4815" width="7.5" style="355"/>
    <col min="4816" max="4816" width="1.25" style="355" customWidth="1"/>
    <col min="4817" max="4817" width="5" style="355" customWidth="1"/>
    <col min="4818" max="4818" width="6.25" style="355" customWidth="1"/>
    <col min="4819" max="4819" width="5" style="355" customWidth="1"/>
    <col min="4820" max="4820" width="6.25" style="355" customWidth="1"/>
    <col min="4821" max="4821" width="5" style="355" customWidth="1"/>
    <col min="4822" max="4822" width="6.25" style="355" customWidth="1"/>
    <col min="4823" max="4823" width="5" style="355" customWidth="1"/>
    <col min="4824" max="4824" width="6.25" style="355" customWidth="1"/>
    <col min="4825" max="4825" width="5" style="355" customWidth="1"/>
    <col min="4826" max="4826" width="6.25" style="355" customWidth="1"/>
    <col min="4827" max="4827" width="5" style="355" customWidth="1"/>
    <col min="4828" max="4828" width="6.25" style="355" customWidth="1"/>
    <col min="4829" max="4829" width="5" style="355" customWidth="1"/>
    <col min="4830" max="4831" width="6.25" style="355" customWidth="1"/>
    <col min="4832" max="4832" width="1.25" style="355" customWidth="1"/>
    <col min="4833" max="5071" width="7.5" style="355"/>
    <col min="5072" max="5072" width="1.25" style="355" customWidth="1"/>
    <col min="5073" max="5073" width="5" style="355" customWidth="1"/>
    <col min="5074" max="5074" width="6.25" style="355" customWidth="1"/>
    <col min="5075" max="5075" width="5" style="355" customWidth="1"/>
    <col min="5076" max="5076" width="6.25" style="355" customWidth="1"/>
    <col min="5077" max="5077" width="5" style="355" customWidth="1"/>
    <col min="5078" max="5078" width="6.25" style="355" customWidth="1"/>
    <col min="5079" max="5079" width="5" style="355" customWidth="1"/>
    <col min="5080" max="5080" width="6.25" style="355" customWidth="1"/>
    <col min="5081" max="5081" width="5" style="355" customWidth="1"/>
    <col min="5082" max="5082" width="6.25" style="355" customWidth="1"/>
    <col min="5083" max="5083" width="5" style="355" customWidth="1"/>
    <col min="5084" max="5084" width="6.25" style="355" customWidth="1"/>
    <col min="5085" max="5085" width="5" style="355" customWidth="1"/>
    <col min="5086" max="5087" width="6.25" style="355" customWidth="1"/>
    <col min="5088" max="5088" width="1.25" style="355" customWidth="1"/>
    <col min="5089" max="5327" width="7.5" style="355"/>
    <col min="5328" max="5328" width="1.25" style="355" customWidth="1"/>
    <col min="5329" max="5329" width="5" style="355" customWidth="1"/>
    <col min="5330" max="5330" width="6.25" style="355" customWidth="1"/>
    <col min="5331" max="5331" width="5" style="355" customWidth="1"/>
    <col min="5332" max="5332" width="6.25" style="355" customWidth="1"/>
    <col min="5333" max="5333" width="5" style="355" customWidth="1"/>
    <col min="5334" max="5334" width="6.25" style="355" customWidth="1"/>
    <col min="5335" max="5335" width="5" style="355" customWidth="1"/>
    <col min="5336" max="5336" width="6.25" style="355" customWidth="1"/>
    <col min="5337" max="5337" width="5" style="355" customWidth="1"/>
    <col min="5338" max="5338" width="6.25" style="355" customWidth="1"/>
    <col min="5339" max="5339" width="5" style="355" customWidth="1"/>
    <col min="5340" max="5340" width="6.25" style="355" customWidth="1"/>
    <col min="5341" max="5341" width="5" style="355" customWidth="1"/>
    <col min="5342" max="5343" width="6.25" style="355" customWidth="1"/>
    <col min="5344" max="5344" width="1.25" style="355" customWidth="1"/>
    <col min="5345" max="5583" width="7.5" style="355"/>
    <col min="5584" max="5584" width="1.25" style="355" customWidth="1"/>
    <col min="5585" max="5585" width="5" style="355" customWidth="1"/>
    <col min="5586" max="5586" width="6.25" style="355" customWidth="1"/>
    <col min="5587" max="5587" width="5" style="355" customWidth="1"/>
    <col min="5588" max="5588" width="6.25" style="355" customWidth="1"/>
    <col min="5589" max="5589" width="5" style="355" customWidth="1"/>
    <col min="5590" max="5590" width="6.25" style="355" customWidth="1"/>
    <col min="5591" max="5591" width="5" style="355" customWidth="1"/>
    <col min="5592" max="5592" width="6.25" style="355" customWidth="1"/>
    <col min="5593" max="5593" width="5" style="355" customWidth="1"/>
    <col min="5594" max="5594" width="6.25" style="355" customWidth="1"/>
    <col min="5595" max="5595" width="5" style="355" customWidth="1"/>
    <col min="5596" max="5596" width="6.25" style="355" customWidth="1"/>
    <col min="5597" max="5597" width="5" style="355" customWidth="1"/>
    <col min="5598" max="5599" width="6.25" style="355" customWidth="1"/>
    <col min="5600" max="5600" width="1.25" style="355" customWidth="1"/>
    <col min="5601" max="5839" width="7.5" style="355"/>
    <col min="5840" max="5840" width="1.25" style="355" customWidth="1"/>
    <col min="5841" max="5841" width="5" style="355" customWidth="1"/>
    <col min="5842" max="5842" width="6.25" style="355" customWidth="1"/>
    <col min="5843" max="5843" width="5" style="355" customWidth="1"/>
    <col min="5844" max="5844" width="6.25" style="355" customWidth="1"/>
    <col min="5845" max="5845" width="5" style="355" customWidth="1"/>
    <col min="5846" max="5846" width="6.25" style="355" customWidth="1"/>
    <col min="5847" max="5847" width="5" style="355" customWidth="1"/>
    <col min="5848" max="5848" width="6.25" style="355" customWidth="1"/>
    <col min="5849" max="5849" width="5" style="355" customWidth="1"/>
    <col min="5850" max="5850" width="6.25" style="355" customWidth="1"/>
    <col min="5851" max="5851" width="5" style="355" customWidth="1"/>
    <col min="5852" max="5852" width="6.25" style="355" customWidth="1"/>
    <col min="5853" max="5853" width="5" style="355" customWidth="1"/>
    <col min="5854" max="5855" width="6.25" style="355" customWidth="1"/>
    <col min="5856" max="5856" width="1.25" style="355" customWidth="1"/>
    <col min="5857" max="6095" width="7.5" style="355"/>
    <col min="6096" max="6096" width="1.25" style="355" customWidth="1"/>
    <col min="6097" max="6097" width="5" style="355" customWidth="1"/>
    <col min="6098" max="6098" width="6.25" style="355" customWidth="1"/>
    <col min="6099" max="6099" width="5" style="355" customWidth="1"/>
    <col min="6100" max="6100" width="6.25" style="355" customWidth="1"/>
    <col min="6101" max="6101" width="5" style="355" customWidth="1"/>
    <col min="6102" max="6102" width="6.25" style="355" customWidth="1"/>
    <col min="6103" max="6103" width="5" style="355" customWidth="1"/>
    <col min="6104" max="6104" width="6.25" style="355" customWidth="1"/>
    <col min="6105" max="6105" width="5" style="355" customWidth="1"/>
    <col min="6106" max="6106" width="6.25" style="355" customWidth="1"/>
    <col min="6107" max="6107" width="5" style="355" customWidth="1"/>
    <col min="6108" max="6108" width="6.25" style="355" customWidth="1"/>
    <col min="6109" max="6109" width="5" style="355" customWidth="1"/>
    <col min="6110" max="6111" width="6.25" style="355" customWidth="1"/>
    <col min="6112" max="6112" width="1.25" style="355" customWidth="1"/>
    <col min="6113" max="6351" width="7.5" style="355"/>
    <col min="6352" max="6352" width="1.25" style="355" customWidth="1"/>
    <col min="6353" max="6353" width="5" style="355" customWidth="1"/>
    <col min="6354" max="6354" width="6.25" style="355" customWidth="1"/>
    <col min="6355" max="6355" width="5" style="355" customWidth="1"/>
    <col min="6356" max="6356" width="6.25" style="355" customWidth="1"/>
    <col min="6357" max="6357" width="5" style="355" customWidth="1"/>
    <col min="6358" max="6358" width="6.25" style="355" customWidth="1"/>
    <col min="6359" max="6359" width="5" style="355" customWidth="1"/>
    <col min="6360" max="6360" width="6.25" style="355" customWidth="1"/>
    <col min="6361" max="6361" width="5" style="355" customWidth="1"/>
    <col min="6362" max="6362" width="6.25" style="355" customWidth="1"/>
    <col min="6363" max="6363" width="5" style="355" customWidth="1"/>
    <col min="6364" max="6364" width="6.25" style="355" customWidth="1"/>
    <col min="6365" max="6365" width="5" style="355" customWidth="1"/>
    <col min="6366" max="6367" width="6.25" style="355" customWidth="1"/>
    <col min="6368" max="6368" width="1.25" style="355" customWidth="1"/>
    <col min="6369" max="6607" width="7.5" style="355"/>
    <col min="6608" max="6608" width="1.25" style="355" customWidth="1"/>
    <col min="6609" max="6609" width="5" style="355" customWidth="1"/>
    <col min="6610" max="6610" width="6.25" style="355" customWidth="1"/>
    <col min="6611" max="6611" width="5" style="355" customWidth="1"/>
    <col min="6612" max="6612" width="6.25" style="355" customWidth="1"/>
    <col min="6613" max="6613" width="5" style="355" customWidth="1"/>
    <col min="6614" max="6614" width="6.25" style="355" customWidth="1"/>
    <col min="6615" max="6615" width="5" style="355" customWidth="1"/>
    <col min="6616" max="6616" width="6.25" style="355" customWidth="1"/>
    <col min="6617" max="6617" width="5" style="355" customWidth="1"/>
    <col min="6618" max="6618" width="6.25" style="355" customWidth="1"/>
    <col min="6619" max="6619" width="5" style="355" customWidth="1"/>
    <col min="6620" max="6620" width="6.25" style="355" customWidth="1"/>
    <col min="6621" max="6621" width="5" style="355" customWidth="1"/>
    <col min="6622" max="6623" width="6.25" style="355" customWidth="1"/>
    <col min="6624" max="6624" width="1.25" style="355" customWidth="1"/>
    <col min="6625" max="6863" width="7.5" style="355"/>
    <col min="6864" max="6864" width="1.25" style="355" customWidth="1"/>
    <col min="6865" max="6865" width="5" style="355" customWidth="1"/>
    <col min="6866" max="6866" width="6.25" style="355" customWidth="1"/>
    <col min="6867" max="6867" width="5" style="355" customWidth="1"/>
    <col min="6868" max="6868" width="6.25" style="355" customWidth="1"/>
    <col min="6869" max="6869" width="5" style="355" customWidth="1"/>
    <col min="6870" max="6870" width="6.25" style="355" customWidth="1"/>
    <col min="6871" max="6871" width="5" style="355" customWidth="1"/>
    <col min="6872" max="6872" width="6.25" style="355" customWidth="1"/>
    <col min="6873" max="6873" width="5" style="355" customWidth="1"/>
    <col min="6874" max="6874" width="6.25" style="355" customWidth="1"/>
    <col min="6875" max="6875" width="5" style="355" customWidth="1"/>
    <col min="6876" max="6876" width="6.25" style="355" customWidth="1"/>
    <col min="6877" max="6877" width="5" style="355" customWidth="1"/>
    <col min="6878" max="6879" width="6.25" style="355" customWidth="1"/>
    <col min="6880" max="6880" width="1.25" style="355" customWidth="1"/>
    <col min="6881" max="7119" width="7.5" style="355"/>
    <col min="7120" max="7120" width="1.25" style="355" customWidth="1"/>
    <col min="7121" max="7121" width="5" style="355" customWidth="1"/>
    <col min="7122" max="7122" width="6.25" style="355" customWidth="1"/>
    <col min="7123" max="7123" width="5" style="355" customWidth="1"/>
    <col min="7124" max="7124" width="6.25" style="355" customWidth="1"/>
    <col min="7125" max="7125" width="5" style="355" customWidth="1"/>
    <col min="7126" max="7126" width="6.25" style="355" customWidth="1"/>
    <col min="7127" max="7127" width="5" style="355" customWidth="1"/>
    <col min="7128" max="7128" width="6.25" style="355" customWidth="1"/>
    <col min="7129" max="7129" width="5" style="355" customWidth="1"/>
    <col min="7130" max="7130" width="6.25" style="355" customWidth="1"/>
    <col min="7131" max="7131" width="5" style="355" customWidth="1"/>
    <col min="7132" max="7132" width="6.25" style="355" customWidth="1"/>
    <col min="7133" max="7133" width="5" style="355" customWidth="1"/>
    <col min="7134" max="7135" width="6.25" style="355" customWidth="1"/>
    <col min="7136" max="7136" width="1.25" style="355" customWidth="1"/>
    <col min="7137" max="7375" width="7.5" style="355"/>
    <col min="7376" max="7376" width="1.25" style="355" customWidth="1"/>
    <col min="7377" max="7377" width="5" style="355" customWidth="1"/>
    <col min="7378" max="7378" width="6.25" style="355" customWidth="1"/>
    <col min="7379" max="7379" width="5" style="355" customWidth="1"/>
    <col min="7380" max="7380" width="6.25" style="355" customWidth="1"/>
    <col min="7381" max="7381" width="5" style="355" customWidth="1"/>
    <col min="7382" max="7382" width="6.25" style="355" customWidth="1"/>
    <col min="7383" max="7383" width="5" style="355" customWidth="1"/>
    <col min="7384" max="7384" width="6.25" style="355" customWidth="1"/>
    <col min="7385" max="7385" width="5" style="355" customWidth="1"/>
    <col min="7386" max="7386" width="6.25" style="355" customWidth="1"/>
    <col min="7387" max="7387" width="5" style="355" customWidth="1"/>
    <col min="7388" max="7388" width="6.25" style="355" customWidth="1"/>
    <col min="7389" max="7389" width="5" style="355" customWidth="1"/>
    <col min="7390" max="7391" width="6.25" style="355" customWidth="1"/>
    <col min="7392" max="7392" width="1.25" style="355" customWidth="1"/>
    <col min="7393" max="7631" width="7.5" style="355"/>
    <col min="7632" max="7632" width="1.25" style="355" customWidth="1"/>
    <col min="7633" max="7633" width="5" style="355" customWidth="1"/>
    <col min="7634" max="7634" width="6.25" style="355" customWidth="1"/>
    <col min="7635" max="7635" width="5" style="355" customWidth="1"/>
    <col min="7636" max="7636" width="6.25" style="355" customWidth="1"/>
    <col min="7637" max="7637" width="5" style="355" customWidth="1"/>
    <col min="7638" max="7638" width="6.25" style="355" customWidth="1"/>
    <col min="7639" max="7639" width="5" style="355" customWidth="1"/>
    <col min="7640" max="7640" width="6.25" style="355" customWidth="1"/>
    <col min="7641" max="7641" width="5" style="355" customWidth="1"/>
    <col min="7642" max="7642" width="6.25" style="355" customWidth="1"/>
    <col min="7643" max="7643" width="5" style="355" customWidth="1"/>
    <col min="7644" max="7644" width="6.25" style="355" customWidth="1"/>
    <col min="7645" max="7645" width="5" style="355" customWidth="1"/>
    <col min="7646" max="7647" width="6.25" style="355" customWidth="1"/>
    <col min="7648" max="7648" width="1.25" style="355" customWidth="1"/>
    <col min="7649" max="7887" width="7.5" style="355"/>
    <col min="7888" max="7888" width="1.25" style="355" customWidth="1"/>
    <col min="7889" max="7889" width="5" style="355" customWidth="1"/>
    <col min="7890" max="7890" width="6.25" style="355" customWidth="1"/>
    <col min="7891" max="7891" width="5" style="355" customWidth="1"/>
    <col min="7892" max="7892" width="6.25" style="355" customWidth="1"/>
    <col min="7893" max="7893" width="5" style="355" customWidth="1"/>
    <col min="7894" max="7894" width="6.25" style="355" customWidth="1"/>
    <col min="7895" max="7895" width="5" style="355" customWidth="1"/>
    <col min="7896" max="7896" width="6.25" style="355" customWidth="1"/>
    <col min="7897" max="7897" width="5" style="355" customWidth="1"/>
    <col min="7898" max="7898" width="6.25" style="355" customWidth="1"/>
    <col min="7899" max="7899" width="5" style="355" customWidth="1"/>
    <col min="7900" max="7900" width="6.25" style="355" customWidth="1"/>
    <col min="7901" max="7901" width="5" style="355" customWidth="1"/>
    <col min="7902" max="7903" width="6.25" style="355" customWidth="1"/>
    <col min="7904" max="7904" width="1.25" style="355" customWidth="1"/>
    <col min="7905" max="8143" width="7.5" style="355"/>
    <col min="8144" max="8144" width="1.25" style="355" customWidth="1"/>
    <col min="8145" max="8145" width="5" style="355" customWidth="1"/>
    <col min="8146" max="8146" width="6.25" style="355" customWidth="1"/>
    <col min="8147" max="8147" width="5" style="355" customWidth="1"/>
    <col min="8148" max="8148" width="6.25" style="355" customWidth="1"/>
    <col min="8149" max="8149" width="5" style="355" customWidth="1"/>
    <col min="8150" max="8150" width="6.25" style="355" customWidth="1"/>
    <col min="8151" max="8151" width="5" style="355" customWidth="1"/>
    <col min="8152" max="8152" width="6.25" style="355" customWidth="1"/>
    <col min="8153" max="8153" width="5" style="355" customWidth="1"/>
    <col min="8154" max="8154" width="6.25" style="355" customWidth="1"/>
    <col min="8155" max="8155" width="5" style="355" customWidth="1"/>
    <col min="8156" max="8156" width="6.25" style="355" customWidth="1"/>
    <col min="8157" max="8157" width="5" style="355" customWidth="1"/>
    <col min="8158" max="8159" width="6.25" style="355" customWidth="1"/>
    <col min="8160" max="8160" width="1.25" style="355" customWidth="1"/>
    <col min="8161" max="8399" width="7.5" style="355"/>
    <col min="8400" max="8400" width="1.25" style="355" customWidth="1"/>
    <col min="8401" max="8401" width="5" style="355" customWidth="1"/>
    <col min="8402" max="8402" width="6.25" style="355" customWidth="1"/>
    <col min="8403" max="8403" width="5" style="355" customWidth="1"/>
    <col min="8404" max="8404" width="6.25" style="355" customWidth="1"/>
    <col min="8405" max="8405" width="5" style="355" customWidth="1"/>
    <col min="8406" max="8406" width="6.25" style="355" customWidth="1"/>
    <col min="8407" max="8407" width="5" style="355" customWidth="1"/>
    <col min="8408" max="8408" width="6.25" style="355" customWidth="1"/>
    <col min="8409" max="8409" width="5" style="355" customWidth="1"/>
    <col min="8410" max="8410" width="6.25" style="355" customWidth="1"/>
    <col min="8411" max="8411" width="5" style="355" customWidth="1"/>
    <col min="8412" max="8412" width="6.25" style="355" customWidth="1"/>
    <col min="8413" max="8413" width="5" style="355" customWidth="1"/>
    <col min="8414" max="8415" width="6.25" style="355" customWidth="1"/>
    <col min="8416" max="8416" width="1.25" style="355" customWidth="1"/>
    <col min="8417" max="8655" width="7.5" style="355"/>
    <col min="8656" max="8656" width="1.25" style="355" customWidth="1"/>
    <col min="8657" max="8657" width="5" style="355" customWidth="1"/>
    <col min="8658" max="8658" width="6.25" style="355" customWidth="1"/>
    <col min="8659" max="8659" width="5" style="355" customWidth="1"/>
    <col min="8660" max="8660" width="6.25" style="355" customWidth="1"/>
    <col min="8661" max="8661" width="5" style="355" customWidth="1"/>
    <col min="8662" max="8662" width="6.25" style="355" customWidth="1"/>
    <col min="8663" max="8663" width="5" style="355" customWidth="1"/>
    <col min="8664" max="8664" width="6.25" style="355" customWidth="1"/>
    <col min="8665" max="8665" width="5" style="355" customWidth="1"/>
    <col min="8666" max="8666" width="6.25" style="355" customWidth="1"/>
    <col min="8667" max="8667" width="5" style="355" customWidth="1"/>
    <col min="8668" max="8668" width="6.25" style="355" customWidth="1"/>
    <col min="8669" max="8669" width="5" style="355" customWidth="1"/>
    <col min="8670" max="8671" width="6.25" style="355" customWidth="1"/>
    <col min="8672" max="8672" width="1.25" style="355" customWidth="1"/>
    <col min="8673" max="8911" width="7.5" style="355"/>
    <col min="8912" max="8912" width="1.25" style="355" customWidth="1"/>
    <col min="8913" max="8913" width="5" style="355" customWidth="1"/>
    <col min="8914" max="8914" width="6.25" style="355" customWidth="1"/>
    <col min="8915" max="8915" width="5" style="355" customWidth="1"/>
    <col min="8916" max="8916" width="6.25" style="355" customWidth="1"/>
    <col min="8917" max="8917" width="5" style="355" customWidth="1"/>
    <col min="8918" max="8918" width="6.25" style="355" customWidth="1"/>
    <col min="8919" max="8919" width="5" style="355" customWidth="1"/>
    <col min="8920" max="8920" width="6.25" style="355" customWidth="1"/>
    <col min="8921" max="8921" width="5" style="355" customWidth="1"/>
    <col min="8922" max="8922" width="6.25" style="355" customWidth="1"/>
    <col min="8923" max="8923" width="5" style="355" customWidth="1"/>
    <col min="8924" max="8924" width="6.25" style="355" customWidth="1"/>
    <col min="8925" max="8925" width="5" style="355" customWidth="1"/>
    <col min="8926" max="8927" width="6.25" style="355" customWidth="1"/>
    <col min="8928" max="8928" width="1.25" style="355" customWidth="1"/>
    <col min="8929" max="9167" width="7.5" style="355"/>
    <col min="9168" max="9168" width="1.25" style="355" customWidth="1"/>
    <col min="9169" max="9169" width="5" style="355" customWidth="1"/>
    <col min="9170" max="9170" width="6.25" style="355" customWidth="1"/>
    <col min="9171" max="9171" width="5" style="355" customWidth="1"/>
    <col min="9172" max="9172" width="6.25" style="355" customWidth="1"/>
    <col min="9173" max="9173" width="5" style="355" customWidth="1"/>
    <col min="9174" max="9174" width="6.25" style="355" customWidth="1"/>
    <col min="9175" max="9175" width="5" style="355" customWidth="1"/>
    <col min="9176" max="9176" width="6.25" style="355" customWidth="1"/>
    <col min="9177" max="9177" width="5" style="355" customWidth="1"/>
    <col min="9178" max="9178" width="6.25" style="355" customWidth="1"/>
    <col min="9179" max="9179" width="5" style="355" customWidth="1"/>
    <col min="9180" max="9180" width="6.25" style="355" customWidth="1"/>
    <col min="9181" max="9181" width="5" style="355" customWidth="1"/>
    <col min="9182" max="9183" width="6.25" style="355" customWidth="1"/>
    <col min="9184" max="9184" width="1.25" style="355" customWidth="1"/>
    <col min="9185" max="9423" width="7.5" style="355"/>
    <col min="9424" max="9424" width="1.25" style="355" customWidth="1"/>
    <col min="9425" max="9425" width="5" style="355" customWidth="1"/>
    <col min="9426" max="9426" width="6.25" style="355" customWidth="1"/>
    <col min="9427" max="9427" width="5" style="355" customWidth="1"/>
    <col min="9428" max="9428" width="6.25" style="355" customWidth="1"/>
    <col min="9429" max="9429" width="5" style="355" customWidth="1"/>
    <col min="9430" max="9430" width="6.25" style="355" customWidth="1"/>
    <col min="9431" max="9431" width="5" style="355" customWidth="1"/>
    <col min="9432" max="9432" width="6.25" style="355" customWidth="1"/>
    <col min="9433" max="9433" width="5" style="355" customWidth="1"/>
    <col min="9434" max="9434" width="6.25" style="355" customWidth="1"/>
    <col min="9435" max="9435" width="5" style="355" customWidth="1"/>
    <col min="9436" max="9436" width="6.25" style="355" customWidth="1"/>
    <col min="9437" max="9437" width="5" style="355" customWidth="1"/>
    <col min="9438" max="9439" width="6.25" style="355" customWidth="1"/>
    <col min="9440" max="9440" width="1.25" style="355" customWidth="1"/>
    <col min="9441" max="9679" width="7.5" style="355"/>
    <col min="9680" max="9680" width="1.25" style="355" customWidth="1"/>
    <col min="9681" max="9681" width="5" style="355" customWidth="1"/>
    <col min="9682" max="9682" width="6.25" style="355" customWidth="1"/>
    <col min="9683" max="9683" width="5" style="355" customWidth="1"/>
    <col min="9684" max="9684" width="6.25" style="355" customWidth="1"/>
    <col min="9685" max="9685" width="5" style="355" customWidth="1"/>
    <col min="9686" max="9686" width="6.25" style="355" customWidth="1"/>
    <col min="9687" max="9687" width="5" style="355" customWidth="1"/>
    <col min="9688" max="9688" width="6.25" style="355" customWidth="1"/>
    <col min="9689" max="9689" width="5" style="355" customWidth="1"/>
    <col min="9690" max="9690" width="6.25" style="355" customWidth="1"/>
    <col min="9691" max="9691" width="5" style="355" customWidth="1"/>
    <col min="9692" max="9692" width="6.25" style="355" customWidth="1"/>
    <col min="9693" max="9693" width="5" style="355" customWidth="1"/>
    <col min="9694" max="9695" width="6.25" style="355" customWidth="1"/>
    <col min="9696" max="9696" width="1.25" style="355" customWidth="1"/>
    <col min="9697" max="9935" width="7.5" style="355"/>
    <col min="9936" max="9936" width="1.25" style="355" customWidth="1"/>
    <col min="9937" max="9937" width="5" style="355" customWidth="1"/>
    <col min="9938" max="9938" width="6.25" style="355" customWidth="1"/>
    <col min="9939" max="9939" width="5" style="355" customWidth="1"/>
    <col min="9940" max="9940" width="6.25" style="355" customWidth="1"/>
    <col min="9941" max="9941" width="5" style="355" customWidth="1"/>
    <col min="9942" max="9942" width="6.25" style="355" customWidth="1"/>
    <col min="9943" max="9943" width="5" style="355" customWidth="1"/>
    <col min="9944" max="9944" width="6.25" style="355" customWidth="1"/>
    <col min="9945" max="9945" width="5" style="355" customWidth="1"/>
    <col min="9946" max="9946" width="6.25" style="355" customWidth="1"/>
    <col min="9947" max="9947" width="5" style="355" customWidth="1"/>
    <col min="9948" max="9948" width="6.25" style="355" customWidth="1"/>
    <col min="9949" max="9949" width="5" style="355" customWidth="1"/>
    <col min="9950" max="9951" width="6.25" style="355" customWidth="1"/>
    <col min="9952" max="9952" width="1.25" style="355" customWidth="1"/>
    <col min="9953" max="10191" width="7.5" style="355"/>
    <col min="10192" max="10192" width="1.25" style="355" customWidth="1"/>
    <col min="10193" max="10193" width="5" style="355" customWidth="1"/>
    <col min="10194" max="10194" width="6.25" style="355" customWidth="1"/>
    <col min="10195" max="10195" width="5" style="355" customWidth="1"/>
    <col min="10196" max="10196" width="6.25" style="355" customWidth="1"/>
    <col min="10197" max="10197" width="5" style="355" customWidth="1"/>
    <col min="10198" max="10198" width="6.25" style="355" customWidth="1"/>
    <col min="10199" max="10199" width="5" style="355" customWidth="1"/>
    <col min="10200" max="10200" width="6.25" style="355" customWidth="1"/>
    <col min="10201" max="10201" width="5" style="355" customWidth="1"/>
    <col min="10202" max="10202" width="6.25" style="355" customWidth="1"/>
    <col min="10203" max="10203" width="5" style="355" customWidth="1"/>
    <col min="10204" max="10204" width="6.25" style="355" customWidth="1"/>
    <col min="10205" max="10205" width="5" style="355" customWidth="1"/>
    <col min="10206" max="10207" width="6.25" style="355" customWidth="1"/>
    <col min="10208" max="10208" width="1.25" style="355" customWidth="1"/>
    <col min="10209" max="10447" width="7.5" style="355"/>
    <col min="10448" max="10448" width="1.25" style="355" customWidth="1"/>
    <col min="10449" max="10449" width="5" style="355" customWidth="1"/>
    <col min="10450" max="10450" width="6.25" style="355" customWidth="1"/>
    <col min="10451" max="10451" width="5" style="355" customWidth="1"/>
    <col min="10452" max="10452" width="6.25" style="355" customWidth="1"/>
    <col min="10453" max="10453" width="5" style="355" customWidth="1"/>
    <col min="10454" max="10454" width="6.25" style="355" customWidth="1"/>
    <col min="10455" max="10455" width="5" style="355" customWidth="1"/>
    <col min="10456" max="10456" width="6.25" style="355" customWidth="1"/>
    <col min="10457" max="10457" width="5" style="355" customWidth="1"/>
    <col min="10458" max="10458" width="6.25" style="355" customWidth="1"/>
    <col min="10459" max="10459" width="5" style="355" customWidth="1"/>
    <col min="10460" max="10460" width="6.25" style="355" customWidth="1"/>
    <col min="10461" max="10461" width="5" style="355" customWidth="1"/>
    <col min="10462" max="10463" width="6.25" style="355" customWidth="1"/>
    <col min="10464" max="10464" width="1.25" style="355" customWidth="1"/>
    <col min="10465" max="10703" width="7.5" style="355"/>
    <col min="10704" max="10704" width="1.25" style="355" customWidth="1"/>
    <col min="10705" max="10705" width="5" style="355" customWidth="1"/>
    <col min="10706" max="10706" width="6.25" style="355" customWidth="1"/>
    <col min="10707" max="10707" width="5" style="355" customWidth="1"/>
    <col min="10708" max="10708" width="6.25" style="355" customWidth="1"/>
    <col min="10709" max="10709" width="5" style="355" customWidth="1"/>
    <col min="10710" max="10710" width="6.25" style="355" customWidth="1"/>
    <col min="10711" max="10711" width="5" style="355" customWidth="1"/>
    <col min="10712" max="10712" width="6.25" style="355" customWidth="1"/>
    <col min="10713" max="10713" width="5" style="355" customWidth="1"/>
    <col min="10714" max="10714" width="6.25" style="355" customWidth="1"/>
    <col min="10715" max="10715" width="5" style="355" customWidth="1"/>
    <col min="10716" max="10716" width="6.25" style="355" customWidth="1"/>
    <col min="10717" max="10717" width="5" style="355" customWidth="1"/>
    <col min="10718" max="10719" width="6.25" style="355" customWidth="1"/>
    <col min="10720" max="10720" width="1.25" style="355" customWidth="1"/>
    <col min="10721" max="10959" width="7.5" style="355"/>
    <col min="10960" max="10960" width="1.25" style="355" customWidth="1"/>
    <col min="10961" max="10961" width="5" style="355" customWidth="1"/>
    <col min="10962" max="10962" width="6.25" style="355" customWidth="1"/>
    <col min="10963" max="10963" width="5" style="355" customWidth="1"/>
    <col min="10964" max="10964" width="6.25" style="355" customWidth="1"/>
    <col min="10965" max="10965" width="5" style="355" customWidth="1"/>
    <col min="10966" max="10966" width="6.25" style="355" customWidth="1"/>
    <col min="10967" max="10967" width="5" style="355" customWidth="1"/>
    <col min="10968" max="10968" width="6.25" style="355" customWidth="1"/>
    <col min="10969" max="10969" width="5" style="355" customWidth="1"/>
    <col min="10970" max="10970" width="6.25" style="355" customWidth="1"/>
    <col min="10971" max="10971" width="5" style="355" customWidth="1"/>
    <col min="10972" max="10972" width="6.25" style="355" customWidth="1"/>
    <col min="10973" max="10973" width="5" style="355" customWidth="1"/>
    <col min="10974" max="10975" width="6.25" style="355" customWidth="1"/>
    <col min="10976" max="10976" width="1.25" style="355" customWidth="1"/>
    <col min="10977" max="11215" width="7.5" style="355"/>
    <col min="11216" max="11216" width="1.25" style="355" customWidth="1"/>
    <col min="11217" max="11217" width="5" style="355" customWidth="1"/>
    <col min="11218" max="11218" width="6.25" style="355" customWidth="1"/>
    <col min="11219" max="11219" width="5" style="355" customWidth="1"/>
    <col min="11220" max="11220" width="6.25" style="355" customWidth="1"/>
    <col min="11221" max="11221" width="5" style="355" customWidth="1"/>
    <col min="11222" max="11222" width="6.25" style="355" customWidth="1"/>
    <col min="11223" max="11223" width="5" style="355" customWidth="1"/>
    <col min="11224" max="11224" width="6.25" style="355" customWidth="1"/>
    <col min="11225" max="11225" width="5" style="355" customWidth="1"/>
    <col min="11226" max="11226" width="6.25" style="355" customWidth="1"/>
    <col min="11227" max="11227" width="5" style="355" customWidth="1"/>
    <col min="11228" max="11228" width="6.25" style="355" customWidth="1"/>
    <col min="11229" max="11229" width="5" style="355" customWidth="1"/>
    <col min="11230" max="11231" width="6.25" style="355" customWidth="1"/>
    <col min="11232" max="11232" width="1.25" style="355" customWidth="1"/>
    <col min="11233" max="11471" width="7.5" style="355"/>
    <col min="11472" max="11472" width="1.25" style="355" customWidth="1"/>
    <col min="11473" max="11473" width="5" style="355" customWidth="1"/>
    <col min="11474" max="11474" width="6.25" style="355" customWidth="1"/>
    <col min="11475" max="11475" width="5" style="355" customWidth="1"/>
    <col min="11476" max="11476" width="6.25" style="355" customWidth="1"/>
    <col min="11477" max="11477" width="5" style="355" customWidth="1"/>
    <col min="11478" max="11478" width="6.25" style="355" customWidth="1"/>
    <col min="11479" max="11479" width="5" style="355" customWidth="1"/>
    <col min="11480" max="11480" width="6.25" style="355" customWidth="1"/>
    <col min="11481" max="11481" width="5" style="355" customWidth="1"/>
    <col min="11482" max="11482" width="6.25" style="355" customWidth="1"/>
    <col min="11483" max="11483" width="5" style="355" customWidth="1"/>
    <col min="11484" max="11484" width="6.25" style="355" customWidth="1"/>
    <col min="11485" max="11485" width="5" style="355" customWidth="1"/>
    <col min="11486" max="11487" width="6.25" style="355" customWidth="1"/>
    <col min="11488" max="11488" width="1.25" style="355" customWidth="1"/>
    <col min="11489" max="11727" width="7.5" style="355"/>
    <col min="11728" max="11728" width="1.25" style="355" customWidth="1"/>
    <col min="11729" max="11729" width="5" style="355" customWidth="1"/>
    <col min="11730" max="11730" width="6.25" style="355" customWidth="1"/>
    <col min="11731" max="11731" width="5" style="355" customWidth="1"/>
    <col min="11732" max="11732" width="6.25" style="355" customWidth="1"/>
    <col min="11733" max="11733" width="5" style="355" customWidth="1"/>
    <col min="11734" max="11734" width="6.25" style="355" customWidth="1"/>
    <col min="11735" max="11735" width="5" style="355" customWidth="1"/>
    <col min="11736" max="11736" width="6.25" style="355" customWidth="1"/>
    <col min="11737" max="11737" width="5" style="355" customWidth="1"/>
    <col min="11738" max="11738" width="6.25" style="355" customWidth="1"/>
    <col min="11739" max="11739" width="5" style="355" customWidth="1"/>
    <col min="11740" max="11740" width="6.25" style="355" customWidth="1"/>
    <col min="11741" max="11741" width="5" style="355" customWidth="1"/>
    <col min="11742" max="11743" width="6.25" style="355" customWidth="1"/>
    <col min="11744" max="11744" width="1.25" style="355" customWidth="1"/>
    <col min="11745" max="11983" width="7.5" style="355"/>
    <col min="11984" max="11984" width="1.25" style="355" customWidth="1"/>
    <col min="11985" max="11985" width="5" style="355" customWidth="1"/>
    <col min="11986" max="11986" width="6.25" style="355" customWidth="1"/>
    <col min="11987" max="11987" width="5" style="355" customWidth="1"/>
    <col min="11988" max="11988" width="6.25" style="355" customWidth="1"/>
    <col min="11989" max="11989" width="5" style="355" customWidth="1"/>
    <col min="11990" max="11990" width="6.25" style="355" customWidth="1"/>
    <col min="11991" max="11991" width="5" style="355" customWidth="1"/>
    <col min="11992" max="11992" width="6.25" style="355" customWidth="1"/>
    <col min="11993" max="11993" width="5" style="355" customWidth="1"/>
    <col min="11994" max="11994" width="6.25" style="355" customWidth="1"/>
    <col min="11995" max="11995" width="5" style="355" customWidth="1"/>
    <col min="11996" max="11996" width="6.25" style="355" customWidth="1"/>
    <col min="11997" max="11997" width="5" style="355" customWidth="1"/>
    <col min="11998" max="11999" width="6.25" style="355" customWidth="1"/>
    <col min="12000" max="12000" width="1.25" style="355" customWidth="1"/>
    <col min="12001" max="12239" width="7.5" style="355"/>
    <col min="12240" max="12240" width="1.25" style="355" customWidth="1"/>
    <col min="12241" max="12241" width="5" style="355" customWidth="1"/>
    <col min="12242" max="12242" width="6.25" style="355" customWidth="1"/>
    <col min="12243" max="12243" width="5" style="355" customWidth="1"/>
    <col min="12244" max="12244" width="6.25" style="355" customWidth="1"/>
    <col min="12245" max="12245" width="5" style="355" customWidth="1"/>
    <col min="12246" max="12246" width="6.25" style="355" customWidth="1"/>
    <col min="12247" max="12247" width="5" style="355" customWidth="1"/>
    <col min="12248" max="12248" width="6.25" style="355" customWidth="1"/>
    <col min="12249" max="12249" width="5" style="355" customWidth="1"/>
    <col min="12250" max="12250" width="6.25" style="355" customWidth="1"/>
    <col min="12251" max="12251" width="5" style="355" customWidth="1"/>
    <col min="12252" max="12252" width="6.25" style="355" customWidth="1"/>
    <col min="12253" max="12253" width="5" style="355" customWidth="1"/>
    <col min="12254" max="12255" width="6.25" style="355" customWidth="1"/>
    <col min="12256" max="12256" width="1.25" style="355" customWidth="1"/>
    <col min="12257" max="12495" width="7.5" style="355"/>
    <col min="12496" max="12496" width="1.25" style="355" customWidth="1"/>
    <col min="12497" max="12497" width="5" style="355" customWidth="1"/>
    <col min="12498" max="12498" width="6.25" style="355" customWidth="1"/>
    <col min="12499" max="12499" width="5" style="355" customWidth="1"/>
    <col min="12500" max="12500" width="6.25" style="355" customWidth="1"/>
    <col min="12501" max="12501" width="5" style="355" customWidth="1"/>
    <col min="12502" max="12502" width="6.25" style="355" customWidth="1"/>
    <col min="12503" max="12503" width="5" style="355" customWidth="1"/>
    <col min="12504" max="12504" width="6.25" style="355" customWidth="1"/>
    <col min="12505" max="12505" width="5" style="355" customWidth="1"/>
    <col min="12506" max="12506" width="6.25" style="355" customWidth="1"/>
    <col min="12507" max="12507" width="5" style="355" customWidth="1"/>
    <col min="12508" max="12508" width="6.25" style="355" customWidth="1"/>
    <col min="12509" max="12509" width="5" style="355" customWidth="1"/>
    <col min="12510" max="12511" width="6.25" style="355" customWidth="1"/>
    <col min="12512" max="12512" width="1.25" style="355" customWidth="1"/>
    <col min="12513" max="12751" width="7.5" style="355"/>
    <col min="12752" max="12752" width="1.25" style="355" customWidth="1"/>
    <col min="12753" max="12753" width="5" style="355" customWidth="1"/>
    <col min="12754" max="12754" width="6.25" style="355" customWidth="1"/>
    <col min="12755" max="12755" width="5" style="355" customWidth="1"/>
    <col min="12756" max="12756" width="6.25" style="355" customWidth="1"/>
    <col min="12757" max="12757" width="5" style="355" customWidth="1"/>
    <col min="12758" max="12758" width="6.25" style="355" customWidth="1"/>
    <col min="12759" max="12759" width="5" style="355" customWidth="1"/>
    <col min="12760" max="12760" width="6.25" style="355" customWidth="1"/>
    <col min="12761" max="12761" width="5" style="355" customWidth="1"/>
    <col min="12762" max="12762" width="6.25" style="355" customWidth="1"/>
    <col min="12763" max="12763" width="5" style="355" customWidth="1"/>
    <col min="12764" max="12764" width="6.25" style="355" customWidth="1"/>
    <col min="12765" max="12765" width="5" style="355" customWidth="1"/>
    <col min="12766" max="12767" width="6.25" style="355" customWidth="1"/>
    <col min="12768" max="12768" width="1.25" style="355" customWidth="1"/>
    <col min="12769" max="13007" width="7.5" style="355"/>
    <col min="13008" max="13008" width="1.25" style="355" customWidth="1"/>
    <col min="13009" max="13009" width="5" style="355" customWidth="1"/>
    <col min="13010" max="13010" width="6.25" style="355" customWidth="1"/>
    <col min="13011" max="13011" width="5" style="355" customWidth="1"/>
    <col min="13012" max="13012" width="6.25" style="355" customWidth="1"/>
    <col min="13013" max="13013" width="5" style="355" customWidth="1"/>
    <col min="13014" max="13014" width="6.25" style="355" customWidth="1"/>
    <col min="13015" max="13015" width="5" style="355" customWidth="1"/>
    <col min="13016" max="13016" width="6.25" style="355" customWidth="1"/>
    <col min="13017" max="13017" width="5" style="355" customWidth="1"/>
    <col min="13018" max="13018" width="6.25" style="355" customWidth="1"/>
    <col min="13019" max="13019" width="5" style="355" customWidth="1"/>
    <col min="13020" max="13020" width="6.25" style="355" customWidth="1"/>
    <col min="13021" max="13021" width="5" style="355" customWidth="1"/>
    <col min="13022" max="13023" width="6.25" style="355" customWidth="1"/>
    <col min="13024" max="13024" width="1.25" style="355" customWidth="1"/>
    <col min="13025" max="13263" width="7.5" style="355"/>
    <col min="13264" max="13264" width="1.25" style="355" customWidth="1"/>
    <col min="13265" max="13265" width="5" style="355" customWidth="1"/>
    <col min="13266" max="13266" width="6.25" style="355" customWidth="1"/>
    <col min="13267" max="13267" width="5" style="355" customWidth="1"/>
    <col min="13268" max="13268" width="6.25" style="355" customWidth="1"/>
    <col min="13269" max="13269" width="5" style="355" customWidth="1"/>
    <col min="13270" max="13270" width="6.25" style="355" customWidth="1"/>
    <col min="13271" max="13271" width="5" style="355" customWidth="1"/>
    <col min="13272" max="13272" width="6.25" style="355" customWidth="1"/>
    <col min="13273" max="13273" width="5" style="355" customWidth="1"/>
    <col min="13274" max="13274" width="6.25" style="355" customWidth="1"/>
    <col min="13275" max="13275" width="5" style="355" customWidth="1"/>
    <col min="13276" max="13276" width="6.25" style="355" customWidth="1"/>
    <col min="13277" max="13277" width="5" style="355" customWidth="1"/>
    <col min="13278" max="13279" width="6.25" style="355" customWidth="1"/>
    <col min="13280" max="13280" width="1.25" style="355" customWidth="1"/>
    <col min="13281" max="13519" width="7.5" style="355"/>
    <col min="13520" max="13520" width="1.25" style="355" customWidth="1"/>
    <col min="13521" max="13521" width="5" style="355" customWidth="1"/>
    <col min="13522" max="13522" width="6.25" style="355" customWidth="1"/>
    <col min="13523" max="13523" width="5" style="355" customWidth="1"/>
    <col min="13524" max="13524" width="6.25" style="355" customWidth="1"/>
    <col min="13525" max="13525" width="5" style="355" customWidth="1"/>
    <col min="13526" max="13526" width="6.25" style="355" customWidth="1"/>
    <col min="13527" max="13527" width="5" style="355" customWidth="1"/>
    <col min="13528" max="13528" width="6.25" style="355" customWidth="1"/>
    <col min="13529" max="13529" width="5" style="355" customWidth="1"/>
    <col min="13530" max="13530" width="6.25" style="355" customWidth="1"/>
    <col min="13531" max="13531" width="5" style="355" customWidth="1"/>
    <col min="13532" max="13532" width="6.25" style="355" customWidth="1"/>
    <col min="13533" max="13533" width="5" style="355" customWidth="1"/>
    <col min="13534" max="13535" width="6.25" style="355" customWidth="1"/>
    <col min="13536" max="13536" width="1.25" style="355" customWidth="1"/>
    <col min="13537" max="13775" width="7.5" style="355"/>
    <col min="13776" max="13776" width="1.25" style="355" customWidth="1"/>
    <col min="13777" max="13777" width="5" style="355" customWidth="1"/>
    <col min="13778" max="13778" width="6.25" style="355" customWidth="1"/>
    <col min="13779" max="13779" width="5" style="355" customWidth="1"/>
    <col min="13780" max="13780" width="6.25" style="355" customWidth="1"/>
    <col min="13781" max="13781" width="5" style="355" customWidth="1"/>
    <col min="13782" max="13782" width="6.25" style="355" customWidth="1"/>
    <col min="13783" max="13783" width="5" style="355" customWidth="1"/>
    <col min="13784" max="13784" width="6.25" style="355" customWidth="1"/>
    <col min="13785" max="13785" width="5" style="355" customWidth="1"/>
    <col min="13786" max="13786" width="6.25" style="355" customWidth="1"/>
    <col min="13787" max="13787" width="5" style="355" customWidth="1"/>
    <col min="13788" max="13788" width="6.25" style="355" customWidth="1"/>
    <col min="13789" max="13789" width="5" style="355" customWidth="1"/>
    <col min="13790" max="13791" width="6.25" style="355" customWidth="1"/>
    <col min="13792" max="13792" width="1.25" style="355" customWidth="1"/>
    <col min="13793" max="14031" width="7.5" style="355"/>
    <col min="14032" max="14032" width="1.25" style="355" customWidth="1"/>
    <col min="14033" max="14033" width="5" style="355" customWidth="1"/>
    <col min="14034" max="14034" width="6.25" style="355" customWidth="1"/>
    <col min="14035" max="14035" width="5" style="355" customWidth="1"/>
    <col min="14036" max="14036" width="6.25" style="355" customWidth="1"/>
    <col min="14037" max="14037" width="5" style="355" customWidth="1"/>
    <col min="14038" max="14038" width="6.25" style="355" customWidth="1"/>
    <col min="14039" max="14039" width="5" style="355" customWidth="1"/>
    <col min="14040" max="14040" width="6.25" style="355" customWidth="1"/>
    <col min="14041" max="14041" width="5" style="355" customWidth="1"/>
    <col min="14042" max="14042" width="6.25" style="355" customWidth="1"/>
    <col min="14043" max="14043" width="5" style="355" customWidth="1"/>
    <col min="14044" max="14044" width="6.25" style="355" customWidth="1"/>
    <col min="14045" max="14045" width="5" style="355" customWidth="1"/>
    <col min="14046" max="14047" width="6.25" style="355" customWidth="1"/>
    <col min="14048" max="14048" width="1.25" style="355" customWidth="1"/>
    <col min="14049" max="14287" width="7.5" style="355"/>
    <col min="14288" max="14288" width="1.25" style="355" customWidth="1"/>
    <col min="14289" max="14289" width="5" style="355" customWidth="1"/>
    <col min="14290" max="14290" width="6.25" style="355" customWidth="1"/>
    <col min="14291" max="14291" width="5" style="355" customWidth="1"/>
    <col min="14292" max="14292" width="6.25" style="355" customWidth="1"/>
    <col min="14293" max="14293" width="5" style="355" customWidth="1"/>
    <col min="14294" max="14294" width="6.25" style="355" customWidth="1"/>
    <col min="14295" max="14295" width="5" style="355" customWidth="1"/>
    <col min="14296" max="14296" width="6.25" style="355" customWidth="1"/>
    <col min="14297" max="14297" width="5" style="355" customWidth="1"/>
    <col min="14298" max="14298" width="6.25" style="355" customWidth="1"/>
    <col min="14299" max="14299" width="5" style="355" customWidth="1"/>
    <col min="14300" max="14300" width="6.25" style="355" customWidth="1"/>
    <col min="14301" max="14301" width="5" style="355" customWidth="1"/>
    <col min="14302" max="14303" width="6.25" style="355" customWidth="1"/>
    <col min="14304" max="14304" width="1.25" style="355" customWidth="1"/>
    <col min="14305" max="14543" width="7.5" style="355"/>
    <col min="14544" max="14544" width="1.25" style="355" customWidth="1"/>
    <col min="14545" max="14545" width="5" style="355" customWidth="1"/>
    <col min="14546" max="14546" width="6.25" style="355" customWidth="1"/>
    <col min="14547" max="14547" width="5" style="355" customWidth="1"/>
    <col min="14548" max="14548" width="6.25" style="355" customWidth="1"/>
    <col min="14549" max="14549" width="5" style="355" customWidth="1"/>
    <col min="14550" max="14550" width="6.25" style="355" customWidth="1"/>
    <col min="14551" max="14551" width="5" style="355" customWidth="1"/>
    <col min="14552" max="14552" width="6.25" style="355" customWidth="1"/>
    <col min="14553" max="14553" width="5" style="355" customWidth="1"/>
    <col min="14554" max="14554" width="6.25" style="355" customWidth="1"/>
    <col min="14555" max="14555" width="5" style="355" customWidth="1"/>
    <col min="14556" max="14556" width="6.25" style="355" customWidth="1"/>
    <col min="14557" max="14557" width="5" style="355" customWidth="1"/>
    <col min="14558" max="14559" width="6.25" style="355" customWidth="1"/>
    <col min="14560" max="14560" width="1.25" style="355" customWidth="1"/>
    <col min="14561" max="14799" width="7.5" style="355"/>
    <col min="14800" max="14800" width="1.25" style="355" customWidth="1"/>
    <col min="14801" max="14801" width="5" style="355" customWidth="1"/>
    <col min="14802" max="14802" width="6.25" style="355" customWidth="1"/>
    <col min="14803" max="14803" width="5" style="355" customWidth="1"/>
    <col min="14804" max="14804" width="6.25" style="355" customWidth="1"/>
    <col min="14805" max="14805" width="5" style="355" customWidth="1"/>
    <col min="14806" max="14806" width="6.25" style="355" customWidth="1"/>
    <col min="14807" max="14807" width="5" style="355" customWidth="1"/>
    <col min="14808" max="14808" width="6.25" style="355" customWidth="1"/>
    <col min="14809" max="14809" width="5" style="355" customWidth="1"/>
    <col min="14810" max="14810" width="6.25" style="355" customWidth="1"/>
    <col min="14811" max="14811" width="5" style="355" customWidth="1"/>
    <col min="14812" max="14812" width="6.25" style="355" customWidth="1"/>
    <col min="14813" max="14813" width="5" style="355" customWidth="1"/>
    <col min="14814" max="14815" width="6.25" style="355" customWidth="1"/>
    <col min="14816" max="14816" width="1.25" style="355" customWidth="1"/>
    <col min="14817" max="15055" width="7.5" style="355"/>
    <col min="15056" max="15056" width="1.25" style="355" customWidth="1"/>
    <col min="15057" max="15057" width="5" style="355" customWidth="1"/>
    <col min="15058" max="15058" width="6.25" style="355" customWidth="1"/>
    <col min="15059" max="15059" width="5" style="355" customWidth="1"/>
    <col min="15060" max="15060" width="6.25" style="355" customWidth="1"/>
    <col min="15061" max="15061" width="5" style="355" customWidth="1"/>
    <col min="15062" max="15062" width="6.25" style="355" customWidth="1"/>
    <col min="15063" max="15063" width="5" style="355" customWidth="1"/>
    <col min="15064" max="15064" width="6.25" style="355" customWidth="1"/>
    <col min="15065" max="15065" width="5" style="355" customWidth="1"/>
    <col min="15066" max="15066" width="6.25" style="355" customWidth="1"/>
    <col min="15067" max="15067" width="5" style="355" customWidth="1"/>
    <col min="15068" max="15068" width="6.25" style="355" customWidth="1"/>
    <col min="15069" max="15069" width="5" style="355" customWidth="1"/>
    <col min="15070" max="15071" width="6.25" style="355" customWidth="1"/>
    <col min="15072" max="15072" width="1.25" style="355" customWidth="1"/>
    <col min="15073" max="15311" width="7.5" style="355"/>
    <col min="15312" max="15312" width="1.25" style="355" customWidth="1"/>
    <col min="15313" max="15313" width="5" style="355" customWidth="1"/>
    <col min="15314" max="15314" width="6.25" style="355" customWidth="1"/>
    <col min="15315" max="15315" width="5" style="355" customWidth="1"/>
    <col min="15316" max="15316" width="6.25" style="355" customWidth="1"/>
    <col min="15317" max="15317" width="5" style="355" customWidth="1"/>
    <col min="15318" max="15318" width="6.25" style="355" customWidth="1"/>
    <col min="15319" max="15319" width="5" style="355" customWidth="1"/>
    <col min="15320" max="15320" width="6.25" style="355" customWidth="1"/>
    <col min="15321" max="15321" width="5" style="355" customWidth="1"/>
    <col min="15322" max="15322" width="6.25" style="355" customWidth="1"/>
    <col min="15323" max="15323" width="5" style="355" customWidth="1"/>
    <col min="15324" max="15324" width="6.25" style="355" customWidth="1"/>
    <col min="15325" max="15325" width="5" style="355" customWidth="1"/>
    <col min="15326" max="15327" width="6.25" style="355" customWidth="1"/>
    <col min="15328" max="15328" width="1.25" style="355" customWidth="1"/>
    <col min="15329" max="15567" width="7.5" style="355"/>
    <col min="15568" max="15568" width="1.25" style="355" customWidth="1"/>
    <col min="15569" max="15569" width="5" style="355" customWidth="1"/>
    <col min="15570" max="15570" width="6.25" style="355" customWidth="1"/>
    <col min="15571" max="15571" width="5" style="355" customWidth="1"/>
    <col min="15572" max="15572" width="6.25" style="355" customWidth="1"/>
    <col min="15573" max="15573" width="5" style="355" customWidth="1"/>
    <col min="15574" max="15574" width="6.25" style="355" customWidth="1"/>
    <col min="15575" max="15575" width="5" style="355" customWidth="1"/>
    <col min="15576" max="15576" width="6.25" style="355" customWidth="1"/>
    <col min="15577" max="15577" width="5" style="355" customWidth="1"/>
    <col min="15578" max="15578" width="6.25" style="355" customWidth="1"/>
    <col min="15579" max="15579" width="5" style="355" customWidth="1"/>
    <col min="15580" max="15580" width="6.25" style="355" customWidth="1"/>
    <col min="15581" max="15581" width="5" style="355" customWidth="1"/>
    <col min="15582" max="15583" width="6.25" style="355" customWidth="1"/>
    <col min="15584" max="15584" width="1.25" style="355" customWidth="1"/>
    <col min="15585" max="15823" width="7.5" style="355"/>
    <col min="15824" max="15824" width="1.25" style="355" customWidth="1"/>
    <col min="15825" max="15825" width="5" style="355" customWidth="1"/>
    <col min="15826" max="15826" width="6.25" style="355" customWidth="1"/>
    <col min="15827" max="15827" width="5" style="355" customWidth="1"/>
    <col min="15828" max="15828" width="6.25" style="355" customWidth="1"/>
    <col min="15829" max="15829" width="5" style="355" customWidth="1"/>
    <col min="15830" max="15830" width="6.25" style="355" customWidth="1"/>
    <col min="15831" max="15831" width="5" style="355" customWidth="1"/>
    <col min="15832" max="15832" width="6.25" style="355" customWidth="1"/>
    <col min="15833" max="15833" width="5" style="355" customWidth="1"/>
    <col min="15834" max="15834" width="6.25" style="355" customWidth="1"/>
    <col min="15835" max="15835" width="5" style="355" customWidth="1"/>
    <col min="15836" max="15836" width="6.25" style="355" customWidth="1"/>
    <col min="15837" max="15837" width="5" style="355" customWidth="1"/>
    <col min="15838" max="15839" width="6.25" style="355" customWidth="1"/>
    <col min="15840" max="15840" width="1.25" style="355" customWidth="1"/>
    <col min="15841" max="16079" width="7.5" style="355"/>
    <col min="16080" max="16080" width="1.25" style="355" customWidth="1"/>
    <col min="16081" max="16081" width="5" style="355" customWidth="1"/>
    <col min="16082" max="16082" width="6.25" style="355" customWidth="1"/>
    <col min="16083" max="16083" width="5" style="355" customWidth="1"/>
    <col min="16084" max="16084" width="6.25" style="355" customWidth="1"/>
    <col min="16085" max="16085" width="5" style="355" customWidth="1"/>
    <col min="16086" max="16086" width="6.25" style="355" customWidth="1"/>
    <col min="16087" max="16087" width="5" style="355" customWidth="1"/>
    <col min="16088" max="16088" width="6.25" style="355" customWidth="1"/>
    <col min="16089" max="16089" width="5" style="355" customWidth="1"/>
    <col min="16090" max="16090" width="6.25" style="355" customWidth="1"/>
    <col min="16091" max="16091" width="5" style="355" customWidth="1"/>
    <col min="16092" max="16092" width="6.25" style="355" customWidth="1"/>
    <col min="16093" max="16093" width="5" style="355" customWidth="1"/>
    <col min="16094" max="16095" width="6.25" style="355" customWidth="1"/>
    <col min="16096" max="16096" width="1.25" style="355" customWidth="1"/>
    <col min="16097" max="16384" width="7.5" style="355"/>
  </cols>
  <sheetData>
    <row r="1" spans="1:34" ht="16.5" thickBot="1" x14ac:dyDescent="0.3">
      <c r="A1" s="371"/>
      <c r="B1" s="390" t="s">
        <v>766</v>
      </c>
      <c r="C1" s="372"/>
      <c r="R1" s="379"/>
      <c r="S1" s="379"/>
      <c r="T1" s="379"/>
      <c r="U1" s="379"/>
      <c r="V1" s="379"/>
      <c r="W1" s="379"/>
      <c r="X1" s="379"/>
      <c r="Y1" s="379"/>
      <c r="Z1" s="379"/>
    </row>
    <row r="2" spans="1:34" ht="26.25" customHeight="1" thickTop="1" thickBot="1" x14ac:dyDescent="0.3">
      <c r="A2" s="371"/>
      <c r="B2" s="1722">
        <v>2021</v>
      </c>
      <c r="C2" s="1722"/>
      <c r="D2" s="1722"/>
      <c r="E2" s="1723"/>
      <c r="F2" s="1453"/>
      <c r="G2" s="1454"/>
      <c r="H2" s="1455" t="s">
        <v>749</v>
      </c>
      <c r="I2" s="1593">
        <f>I10+I19+I28+I37+I46+I55+I64+I73+I82+I91+I100+I109</f>
        <v>0.375</v>
      </c>
      <c r="J2" s="1593"/>
      <c r="K2" s="1458">
        <f>K10+K19+K28+K37+K46+K55+K64+K73+K82+K91+K100+K109</f>
        <v>4</v>
      </c>
      <c r="L2" s="1454" t="s">
        <v>750</v>
      </c>
      <c r="M2" s="1459"/>
      <c r="N2" s="1457" t="s">
        <v>751</v>
      </c>
      <c r="O2" s="1460">
        <f>I2/K2</f>
        <v>9.375E-2</v>
      </c>
      <c r="P2" s="1456"/>
      <c r="R2" s="379"/>
      <c r="S2" s="380" t="s">
        <v>760</v>
      </c>
      <c r="T2" s="379"/>
      <c r="U2" s="379"/>
      <c r="V2" s="379"/>
      <c r="W2" s="379"/>
      <c r="X2" s="379"/>
      <c r="Y2" s="379"/>
      <c r="Z2" s="379"/>
      <c r="AC2" s="1489" t="s">
        <v>1069</v>
      </c>
      <c r="AD2" s="1489"/>
      <c r="AE2" s="1489"/>
      <c r="AF2" s="1489"/>
      <c r="AG2" s="1489"/>
      <c r="AH2" s="1489"/>
    </row>
    <row r="3" spans="1:34" ht="30" customHeight="1" x14ac:dyDescent="0.25">
      <c r="A3" s="371"/>
      <c r="B3" s="1590">
        <f>D7</f>
        <v>44208</v>
      </c>
      <c r="C3" s="1591"/>
      <c r="D3" s="1591"/>
      <c r="E3" s="1591"/>
      <c r="F3" s="1594"/>
      <c r="G3" s="1594"/>
      <c r="H3" s="1594"/>
      <c r="I3" s="1594"/>
      <c r="J3" s="1594"/>
      <c r="K3" s="1594"/>
      <c r="L3" s="1594"/>
      <c r="M3" s="1594"/>
      <c r="N3" s="1594"/>
      <c r="O3" s="1594"/>
      <c r="P3" s="1595"/>
      <c r="R3" s="379"/>
      <c r="S3" s="381" t="s">
        <v>761</v>
      </c>
      <c r="T3" s="379"/>
      <c r="U3" s="379"/>
      <c r="V3" s="379"/>
      <c r="W3" s="379"/>
      <c r="X3" s="379"/>
      <c r="Y3" s="382"/>
      <c r="Z3" s="379"/>
      <c r="AC3" s="1489"/>
      <c r="AD3" s="1489"/>
      <c r="AE3" s="1489"/>
      <c r="AF3" s="1489"/>
      <c r="AG3" s="1489"/>
      <c r="AH3" s="1489"/>
    </row>
    <row r="4" spans="1:34" s="371" customFormat="1" ht="29.25" customHeight="1" thickBot="1" x14ac:dyDescent="0.3">
      <c r="B4" s="1586" t="s">
        <v>752</v>
      </c>
      <c r="C4" s="1587"/>
      <c r="D4" s="1587" t="s">
        <v>753</v>
      </c>
      <c r="E4" s="1587"/>
      <c r="F4" s="1587" t="s">
        <v>754</v>
      </c>
      <c r="G4" s="1587"/>
      <c r="H4" s="1587" t="s">
        <v>755</v>
      </c>
      <c r="I4" s="1587"/>
      <c r="J4" s="1587" t="s">
        <v>756</v>
      </c>
      <c r="K4" s="1587"/>
      <c r="L4" s="1588" t="s">
        <v>757</v>
      </c>
      <c r="M4" s="1588"/>
      <c r="N4" s="1589" t="s">
        <v>758</v>
      </c>
      <c r="O4" s="1589"/>
      <c r="P4" s="1327" t="s">
        <v>759</v>
      </c>
      <c r="Q4" s="355"/>
      <c r="R4" s="383"/>
      <c r="S4" s="384" t="s">
        <v>1056</v>
      </c>
      <c r="T4" s="383"/>
      <c r="U4" s="383"/>
      <c r="V4" s="383"/>
      <c r="W4" s="383"/>
      <c r="X4" s="383"/>
      <c r="Y4" s="383"/>
      <c r="Z4" s="383"/>
      <c r="AC4" s="1490">
        <f>Année_Calendaire</f>
        <v>2021</v>
      </c>
      <c r="AD4" s="1491"/>
      <c r="AE4" s="1492"/>
      <c r="AF4" s="563"/>
      <c r="AG4" s="1493">
        <f>AC20+1</f>
        <v>2023</v>
      </c>
      <c r="AH4" s="1494"/>
    </row>
    <row r="5" spans="1:34" s="371" customFormat="1" ht="15" customHeight="1" x14ac:dyDescent="0.25">
      <c r="B5" s="1446" t="str">
        <f>IF(DAY(Jan_Dim1)=1,"",IF(AND(YEAR(Jan_Dim1+1)=Année_Calendaire,MONTH(Jan_Dim1+1)=1),Jan_Dim1+1,""))</f>
        <v/>
      </c>
      <c r="C5" s="1724"/>
      <c r="D5" s="1449" t="str">
        <f>IF(DAY(Jan_Dim1)=1,"",IF(AND(YEAR(Jan_Dim1+2)=Année_Calendaire,MONTH(Jan_Dim1+2)=1),Jan_Dim1+2,""))</f>
        <v/>
      </c>
      <c r="E5" s="1724"/>
      <c r="F5" s="1449" t="str">
        <f>IF(DAY(Jan_Dim1)=1,"",IF(AND(YEAR(Jan_Dim1+3)=Année_Calendaire,MONTH(Jan_Dim1+3)=1),Jan_Dim1+3,""))</f>
        <v/>
      </c>
      <c r="G5" s="1724"/>
      <c r="H5" s="1449" t="str">
        <f>IF(DAY(Jan_Dim1)=1,"",IF(AND(YEAR(Jan_Dim1+4)=Année_Calendaire,MONTH(Jan_Dim1+4)=1),Jan_Dim1+4,""))</f>
        <v/>
      </c>
      <c r="I5" s="1724"/>
      <c r="J5" s="1449">
        <f>IF(DAY(Jan_Dim1)=1,"",IF(AND(YEAR(Jan_Dim1+5)=Année_Calendaire,MONTH(Jan_Dim1+5)=1),Jan_Dim1+5,""))</f>
        <v>44197</v>
      </c>
      <c r="K5" s="1724"/>
      <c r="L5" s="1442">
        <f>IF(DAY(Jan_Dim1)=1,"",IF(AND(YEAR(Jan_Dim1+6)=Année_Calendaire,MONTH(Jan_Dim1+6)=1),Jan_Dim1+6,""))</f>
        <v>44198</v>
      </c>
      <c r="M5" s="1724"/>
      <c r="N5" s="1439">
        <f>IF(DAY(Jan_Dim1)=1,IF(AND(YEAR(Jan_Dim1)=Année_Calendaire,MONTH(Jan_Dim1)=1),Jan_Dim1,""),IF(AND(YEAR(Jan_Dim1+7)=Année_Calendaire,MONTH(Jan_Dim1+7)=1),Jan_Dim1+7,""))</f>
        <v>44199</v>
      </c>
      <c r="O5" s="1724"/>
      <c r="P5" s="1328">
        <f>C5+E5+G5+I5+K5+M5+O5</f>
        <v>0</v>
      </c>
      <c r="R5" s="383"/>
      <c r="S5" s="385" t="s">
        <v>762</v>
      </c>
      <c r="T5" s="383"/>
      <c r="U5" s="383"/>
      <c r="V5" s="383"/>
      <c r="W5" s="383"/>
      <c r="X5" s="1727">
        <v>0.3125</v>
      </c>
      <c r="Y5" s="448" t="s">
        <v>492</v>
      </c>
      <c r="Z5" s="383"/>
      <c r="AC5" s="1755">
        <f t="shared" ref="AC5:AC17" si="0">AD5</f>
        <v>44197</v>
      </c>
      <c r="AD5" s="1751">
        <f>DATE(AC4,1,1)</f>
        <v>44197</v>
      </c>
      <c r="AE5" s="1753" t="s">
        <v>721</v>
      </c>
      <c r="AF5" s="563"/>
      <c r="AG5" s="1495" t="s">
        <v>722</v>
      </c>
      <c r="AH5" s="1496"/>
    </row>
    <row r="6" spans="1:34" ht="15" customHeight="1" x14ac:dyDescent="0.25">
      <c r="A6" s="371"/>
      <c r="B6" s="1446">
        <f>IF(DAY(Jan_Dim1)=1,IF(AND(YEAR(Jan_Dim1+1)=Année_Calendaire,MONTH(Jan_Dim1+1)=1),Jan_Dim1+1,""),IF(AND(YEAR(Jan_Dim1+8)=Année_Calendaire,MONTH(Jan_Dim1+8)=1),Jan_Dim1+8,""))</f>
        <v>44200</v>
      </c>
      <c r="C6" s="1725"/>
      <c r="D6" s="1450">
        <f>IF(DAY(Jan_Dim1)=1,IF(AND(YEAR(Jan_Dim1+2)=Année_Calendaire,MONTH(Jan_Dim1+2)=1),Jan_Dim1+2,""),IF(AND(YEAR(Jan_Dim1+9)=Année_Calendaire,MONTH(Jan_Dim1+9)=1),Jan_Dim1+9,""))</f>
        <v>44201</v>
      </c>
      <c r="E6" s="1725"/>
      <c r="F6" s="1450">
        <f>IF(DAY(Jan_Dim1)=1,IF(AND(YEAR(Jan_Dim1+3)=Année_Calendaire,MONTH(Jan_Dim1+3)=1),Jan_Dim1+3,""),IF(AND(YEAR(Jan_Dim1+10)=Année_Calendaire,MONTH(Jan_Dim1+10)=1),Jan_Dim1+10,""))</f>
        <v>44202</v>
      </c>
      <c r="G6" s="1725"/>
      <c r="H6" s="1450">
        <f>IF(DAY(Jan_Dim1)=1,IF(AND(YEAR(Jan_Dim1+4)=Année_Calendaire,MONTH(Jan_Dim1+4)=1),Jan_Dim1+4,""),IF(AND(YEAR(Jan_Dim1+11)=Année_Calendaire,MONTH(Jan_Dim1+11)=1),Jan_Dim1+11,""))</f>
        <v>44203</v>
      </c>
      <c r="I6" s="1725"/>
      <c r="J6" s="1450">
        <f>IF(DAY(Jan_Dim1)=1,IF(AND(YEAR(Jan_Dim1+5)=Année_Calendaire,MONTH(Jan_Dim1+5)=1),Jan_Dim1+5,""),IF(AND(YEAR(Jan_Dim1+12)=Année_Calendaire,MONTH(Jan_Dim1+12)=1),Jan_Dim1+12,""))</f>
        <v>44204</v>
      </c>
      <c r="K6" s="1725">
        <v>3.125E-2</v>
      </c>
      <c r="L6" s="1443">
        <f>IF(DAY(Jan_Dim1)=1,IF(AND(YEAR(Jan_Dim1+6)=Année_Calendaire,MONTH(Jan_Dim1+6)=1),Jan_Dim1+6,""),IF(AND(YEAR(Jan_Dim1+13)=Année_Calendaire,MONTH(Jan_Dim1+13)=1),Jan_Dim1+13,""))</f>
        <v>44205</v>
      </c>
      <c r="M6" s="1725"/>
      <c r="N6" s="1440">
        <f>IF(DAY(Jan_Dim1)=1,IF(AND(YEAR(Jan_Dim1+7)=Année_Calendaire,MONTH(Jan_Dim1+7)=1),Jan_Dim1+7,""),IF(AND(YEAR(Jan_Dim1+14)=Année_Calendaire,MONTH(Jan_Dim1+14)=1),Jan_Dim1+14,""))</f>
        <v>44206</v>
      </c>
      <c r="O6" s="1725"/>
      <c r="P6" s="1329">
        <f>C6+E6+G6+I6+K6+M6+O6</f>
        <v>3.125E-2</v>
      </c>
      <c r="R6" s="379"/>
      <c r="S6" s="381" t="s">
        <v>763</v>
      </c>
      <c r="T6" s="379"/>
      <c r="U6" s="379"/>
      <c r="V6" s="379"/>
      <c r="W6" s="379"/>
      <c r="X6" s="379"/>
      <c r="Y6" s="379"/>
      <c r="Z6" s="379"/>
      <c r="AC6" s="1755">
        <f t="shared" si="0"/>
        <v>44290</v>
      </c>
      <c r="AD6" s="1751">
        <f>DATE(AC4,3,29.56+0.979*MOD(204-11*MOD(AC4,19),30)-WEEKDAY(DATE(AC4,3,28.56+0.979*MOD(204-11*MOD(AC4,19),30))))</f>
        <v>44290</v>
      </c>
      <c r="AE6" s="1753" t="s">
        <v>585</v>
      </c>
      <c r="AF6" s="563"/>
      <c r="AG6" s="362" t="s">
        <v>723</v>
      </c>
      <c r="AH6" s="363">
        <f>DATE(AG4-1,12,25)</f>
        <v>44920</v>
      </c>
    </row>
    <row r="7" spans="1:34" ht="15" customHeight="1" x14ac:dyDescent="0.25">
      <c r="A7" s="371"/>
      <c r="B7" s="1447">
        <f>IF(DAY(Jan_Dim1)=1,IF(AND(YEAR(Jan_Dim1+8)=Année_Calendaire,MONTH(Jan_Dim1+8)=1),Jan_Dim1+8,""),IF(AND(YEAR(Jan_Dim1+15)=Année_Calendaire,MONTH(Jan_Dim1+15)=1),Jan_Dim1+15,""))</f>
        <v>44207</v>
      </c>
      <c r="C7" s="1725"/>
      <c r="D7" s="1451">
        <f>IF(DAY(Jan_Dim1)=1,IF(AND(YEAR(Jan_Dim1+9)=Année_Calendaire,MONTH(Jan_Dim1+9)=1),Jan_Dim1+9,""),IF(AND(YEAR(Jan_Dim1+16)=Année_Calendaire,MONTH(Jan_Dim1+16)=1),Jan_Dim1+16,""))</f>
        <v>44208</v>
      </c>
      <c r="E7" s="1725">
        <v>0.3125</v>
      </c>
      <c r="F7" s="1451">
        <f>IF(DAY(Jan_Dim1)=1,IF(AND(YEAR(Jan_Dim1+10)=Année_Calendaire,MONTH(Jan_Dim1+10)=1),Jan_Dim1+10,""),IF(AND(YEAR(Jan_Dim1+17)=Année_Calendaire,MONTH(Jan_Dim1+17)=1),Jan_Dim1+17,""))</f>
        <v>44209</v>
      </c>
      <c r="G7" s="1725"/>
      <c r="H7" s="1451">
        <f>IF(DAY(Jan_Dim1)=1,IF(AND(YEAR(Jan_Dim1+11)=Année_Calendaire,MONTH(Jan_Dim1+11)=1),Jan_Dim1+11,""),IF(AND(YEAR(Jan_Dim1+18)=Année_Calendaire,MONTH(Jan_Dim1+18)=1),Jan_Dim1+18,""))</f>
        <v>44210</v>
      </c>
      <c r="I7" s="1725"/>
      <c r="J7" s="1451">
        <f>IF(DAY(Jan_Dim1)=1,IF(AND(YEAR(Jan_Dim1+12)=Année_Calendaire,MONTH(Jan_Dim1+12)=1),Jan_Dim1+12,""),IF(AND(YEAR(Jan_Dim1+19)=Année_Calendaire,MONTH(Jan_Dim1+19)=1),Jan_Dim1+19,""))</f>
        <v>44211</v>
      </c>
      <c r="K7" s="1725"/>
      <c r="L7" s="1444">
        <f>IF(DAY(Jan_Dim1)=1,IF(AND(YEAR(Jan_Dim1+13)=Année_Calendaire,MONTH(Jan_Dim1+13)=1),Jan_Dim1+13,""),IF(AND(YEAR(Jan_Dim1+20)=Année_Calendaire,MONTH(Jan_Dim1+20)=1),Jan_Dim1+20,""))</f>
        <v>44212</v>
      </c>
      <c r="M7" s="1725"/>
      <c r="N7" s="1441">
        <f>IF(DAY(Jan_Dim1)=1,IF(AND(YEAR(Jan_Dim1+14)=Année_Calendaire,MONTH(Jan_Dim1+14)=1),Jan_Dim1+14,""),IF(AND(YEAR(Jan_Dim1+21)=Année_Calendaire,MONTH(Jan_Dim1+21)=1),Jan_Dim1+21,""))</f>
        <v>44213</v>
      </c>
      <c r="O7" s="1725"/>
      <c r="P7" s="1329">
        <f>C7+E7+G7+I7+K7+M7+O7</f>
        <v>0.3125</v>
      </c>
      <c r="R7" s="379"/>
      <c r="S7" s="381" t="s">
        <v>764</v>
      </c>
      <c r="T7" s="379"/>
      <c r="U7" s="379"/>
      <c r="V7" s="379"/>
      <c r="W7" s="379"/>
      <c r="X7" s="379"/>
      <c r="Y7" s="379"/>
      <c r="Z7" s="379"/>
      <c r="AC7" s="1755">
        <f t="shared" si="0"/>
        <v>44291</v>
      </c>
      <c r="AD7" s="1751">
        <f>AD6+1</f>
        <v>44291</v>
      </c>
      <c r="AE7" s="1753" t="s">
        <v>725</v>
      </c>
      <c r="AF7" s="563"/>
      <c r="AG7" s="364" t="s">
        <v>721</v>
      </c>
      <c r="AH7" s="365">
        <f>DATE(AG4,1,1)</f>
        <v>44927</v>
      </c>
    </row>
    <row r="8" spans="1:34" ht="15" customHeight="1" x14ac:dyDescent="0.25">
      <c r="A8" s="371"/>
      <c r="B8" s="1446">
        <f>IF(DAY(Jan_Dim1)=1,IF(AND(YEAR(Jan_Dim1+15)=Année_Calendaire,MONTH(Jan_Dim1+15)=1),Jan_Dim1+15,""),IF(AND(YEAR(Jan_Dim1+22)=Année_Calendaire,MONTH(Jan_Dim1+22)=1),Jan_Dim1+22,""))</f>
        <v>44214</v>
      </c>
      <c r="C8" s="1725"/>
      <c r="D8" s="1450">
        <f>IF(DAY(Jan_Dim1)=1,IF(AND(YEAR(Jan_Dim1+16)=Année_Calendaire,MONTH(Jan_Dim1+16)=1),Jan_Dim1+16,""),IF(AND(YEAR(Jan_Dim1+23)=Année_Calendaire,MONTH(Jan_Dim1+23)=1),Jan_Dim1+23,""))</f>
        <v>44215</v>
      </c>
      <c r="E8" s="1725"/>
      <c r="F8" s="1450">
        <f>IF(DAY(Jan_Dim1)=1,IF(AND(YEAR(Jan_Dim1+17)=Année_Calendaire,MONTH(Jan_Dim1+17)=1),Jan_Dim1+17,""),IF(AND(YEAR(Jan_Dim1+24)=Année_Calendaire,MONTH(Jan_Dim1+24)=1),Jan_Dim1+24,""))</f>
        <v>44216</v>
      </c>
      <c r="G8" s="1725">
        <v>1.0416666666666666E-2</v>
      </c>
      <c r="H8" s="1450">
        <f>IF(DAY(Jan_Dim1)=1,IF(AND(YEAR(Jan_Dim1+18)=Année_Calendaire,MONTH(Jan_Dim1+18)=1),Jan_Dim1+18,""),IF(AND(YEAR(Jan_Dim1+25)=Année_Calendaire,MONTH(Jan_Dim1+25)=1),Jan_Dim1+25,""))</f>
        <v>44217</v>
      </c>
      <c r="I8" s="1725"/>
      <c r="J8" s="1450">
        <f>IF(DAY(Jan_Dim1)=1,IF(AND(YEAR(Jan_Dim1+19)=Année_Calendaire,MONTH(Jan_Dim1+19)=1),Jan_Dim1+19,""),IF(AND(YEAR(Jan_Dim1+26)=Année_Calendaire,MONTH(Jan_Dim1+26)=1),Jan_Dim1+26,""))</f>
        <v>44218</v>
      </c>
      <c r="K8" s="1725"/>
      <c r="L8" s="1443">
        <f>IF(DAY(Jan_Dim1)=1,IF(AND(YEAR(Jan_Dim1+20)=Année_Calendaire,MONTH(Jan_Dim1+20)=1),Jan_Dim1+20,""),IF(AND(YEAR(Jan_Dim1+27)=Année_Calendaire,MONTH(Jan_Dim1+27)=1),Jan_Dim1+27,""))</f>
        <v>44219</v>
      </c>
      <c r="M8" s="1725"/>
      <c r="N8" s="1440">
        <f>IF(DAY(Jan_Dim1)=1,IF(AND(YEAR(Jan_Dim1+21)=Année_Calendaire,MONTH(Jan_Dim1+21)=1),Jan_Dim1+21,""),IF(AND(YEAR(Jan_Dim1+28)=Année_Calendaire,MONTH(Jan_Dim1+28)=1),Jan_Dim1+28,""))</f>
        <v>44220</v>
      </c>
      <c r="O8" s="1725"/>
      <c r="P8" s="1329">
        <f>C8+E8+G8+I8+K8+M8+O8</f>
        <v>1.0416666666666666E-2</v>
      </c>
      <c r="R8" s="379"/>
      <c r="S8" s="381" t="s">
        <v>765</v>
      </c>
      <c r="T8" s="379"/>
      <c r="U8" s="379"/>
      <c r="V8" s="379"/>
      <c r="W8" s="379"/>
      <c r="X8" s="379"/>
      <c r="Y8" s="379"/>
      <c r="Z8" s="379"/>
      <c r="AC8" s="1755">
        <f t="shared" si="0"/>
        <v>44317</v>
      </c>
      <c r="AD8" s="1751">
        <f>DATE(AC4,5,1)</f>
        <v>44317</v>
      </c>
      <c r="AE8" s="1753" t="s">
        <v>726</v>
      </c>
      <c r="AF8" s="563"/>
      <c r="AG8" s="362" t="s">
        <v>585</v>
      </c>
      <c r="AH8" s="363">
        <f>ROUND(DATE(AG4,4,MOD(234-11*MOD(AG4,19),30))/7,)*7-6</f>
        <v>45025</v>
      </c>
    </row>
    <row r="9" spans="1:34" ht="15" customHeight="1" thickBot="1" x14ac:dyDescent="0.3">
      <c r="A9" s="371"/>
      <c r="B9" s="1447">
        <f>IF(DAY(Jan_Dim1)=1,IF(AND(YEAR(Jan_Dim1+22)=Année_Calendaire,MONTH(Jan_Dim1+22)=1),Jan_Dim1+22,""),IF(AND(YEAR(Jan_Dim1+29)=Année_Calendaire,MONTH(Jan_Dim1+29)=1),Jan_Dim1+29,""))</f>
        <v>44221</v>
      </c>
      <c r="C9" s="1725"/>
      <c r="D9" s="1451">
        <f>IF(DAY(Jan_Dim1)=1,IF(AND(YEAR(Jan_Dim1+23)=Année_Calendaire,MONTH(Jan_Dim1+23)=1),Jan_Dim1+23,""),IF(AND(YEAR(Jan_Dim1+30)=Année_Calendaire,MONTH(Jan_Dim1+30)=1),Jan_Dim1+30,""))</f>
        <v>44222</v>
      </c>
      <c r="E9" s="1725"/>
      <c r="F9" s="1451">
        <f>IF(DAY(Jan_Dim1)=1,IF(AND(YEAR(Jan_Dim1+24)=Année_Calendaire,MONTH(Jan_Dim1+24)=1),Jan_Dim1+24,""),IF(AND(YEAR(Jan_Dim1+31)=Année_Calendaire,MONTH(Jan_Dim1+31)=1),Jan_Dim1+31,""))</f>
        <v>44223</v>
      </c>
      <c r="G9" s="1726"/>
      <c r="H9" s="1451">
        <f>IF(DAY(Jan_Dim1)=1,IF(AND(YEAR(Jan_Dim1+25)=Année_Calendaire,MONTH(Jan_Dim1+25)=1),Jan_Dim1+25,""),IF(AND(YEAR(Jan_Dim1+32)=Année_Calendaire,MONTH(Jan_Dim1+32)=1),Jan_Dim1+32,""))</f>
        <v>44224</v>
      </c>
      <c r="I9" s="1726">
        <v>2.0833333333333332E-2</v>
      </c>
      <c r="J9" s="1451">
        <f>IF(DAY(Jan_Dim1)=1,IF(AND(YEAR(Jan_Dim1+26)=Année_Calendaire,MONTH(Jan_Dim1+26)=1),Jan_Dim1+26,""),IF(AND(YEAR(Jan_Dim1+33)=Année_Calendaire,MONTH(Jan_Dim1+33)=1),Jan_Dim1+33,""))</f>
        <v>44225</v>
      </c>
      <c r="K9" s="1726"/>
      <c r="L9" s="1444">
        <f>IF(DAY(Jan_Dim1)=1,IF(AND(YEAR(Jan_Dim1+27)=Année_Calendaire,MONTH(Jan_Dim1+27)=1),Jan_Dim1+27,""),IF(AND(YEAR(Jan_Dim1+34)=Année_Calendaire,MONTH(Jan_Dim1+34)=1),Jan_Dim1+34,""))</f>
        <v>44226</v>
      </c>
      <c r="M9" s="1726"/>
      <c r="N9" s="1441">
        <f>IF(DAY(Jan_Dim1)=1,IF(AND(YEAR(Jan_Dim1+28)=Année_Calendaire,MONTH(Jan_Dim1+28)=1),Jan_Dim1+28,""),IF(AND(YEAR(Jan_Dim1+35)=Année_Calendaire,MONTH(Jan_Dim1+35)=1),Jan_Dim1+35,""))</f>
        <v>44227</v>
      </c>
      <c r="O9" s="1726"/>
      <c r="P9" s="1329">
        <f>C9+E9+G9+I9+K9+M9+O9</f>
        <v>2.0833333333333332E-2</v>
      </c>
      <c r="R9" s="379"/>
      <c r="S9" s="379"/>
      <c r="T9" s="379"/>
      <c r="U9" s="379"/>
      <c r="V9" s="379"/>
      <c r="W9" s="379"/>
      <c r="X9" s="379"/>
      <c r="Y9" s="379"/>
      <c r="Z9" s="379"/>
      <c r="AC9" s="1755">
        <f t="shared" si="0"/>
        <v>44324</v>
      </c>
      <c r="AD9" s="1751">
        <f>DATE(AC4,5,8)</f>
        <v>44324</v>
      </c>
      <c r="AE9" s="1753" t="s">
        <v>728</v>
      </c>
      <c r="AF9" s="563"/>
      <c r="AG9" s="362" t="s">
        <v>725</v>
      </c>
      <c r="AH9" s="363">
        <f>AH8+1</f>
        <v>45026</v>
      </c>
    </row>
    <row r="10" spans="1:34" ht="15" customHeight="1" thickTop="1" thickBot="1" x14ac:dyDescent="0.3">
      <c r="A10" s="371"/>
      <c r="B10" s="1448" t="str">
        <f>IF(DAY(Jan_Dim1)=1,IF(AND(YEAR(Jan_Dim1+29)=Année_Calendaire,MONTH(Jan_Dim1+29)=1),Jan_Dim1+29,""),IF(AND(YEAR(Jan_Dim1+36)=Année_Calendaire,MONTH(Jan_Dim1+36)=1),Jan_Dim1+36,""))</f>
        <v/>
      </c>
      <c r="C10" s="1726"/>
      <c r="D10" s="1452" t="str">
        <f>IF(DAY(Jan_Dim1)=1,IF(AND(YEAR(Jan_Dim1+30)=Année_Calendaire,MONTH(Jan_Dim1+30)=1),Jan_Dim1+30,""),IF(AND(YEAR(Jan_Dim1+37)=Année_Calendaire,MONTH(Jan_Dim1+37)=1),Jan_Dim1+37,""))</f>
        <v/>
      </c>
      <c r="E10" s="1726"/>
      <c r="F10" s="373"/>
      <c r="G10" s="374"/>
      <c r="H10" s="375" t="s">
        <v>749</v>
      </c>
      <c r="I10" s="1585">
        <f>SUM(B11:O11)</f>
        <v>0.375</v>
      </c>
      <c r="J10" s="1585"/>
      <c r="K10" s="375">
        <f>COUNTA(C5:C10,E5:E10,G5:G9,I5:I9,K5:K9,M5:M9,O5:O9)</f>
        <v>4</v>
      </c>
      <c r="L10" s="374" t="s">
        <v>750</v>
      </c>
      <c r="M10" s="374"/>
      <c r="N10" s="375" t="s">
        <v>751</v>
      </c>
      <c r="O10" s="376">
        <f>I10/K10</f>
        <v>9.375E-2</v>
      </c>
      <c r="P10" s="1330">
        <f>C10+E10</f>
        <v>0</v>
      </c>
      <c r="R10" s="379"/>
      <c r="S10" s="392" t="s">
        <v>768</v>
      </c>
      <c r="T10" s="379"/>
      <c r="U10" s="379"/>
      <c r="V10" s="379"/>
      <c r="W10" s="379"/>
      <c r="X10" s="379"/>
      <c r="Y10" s="379"/>
      <c r="Z10" s="379"/>
      <c r="AC10" s="1755">
        <f t="shared" si="0"/>
        <v>44329</v>
      </c>
      <c r="AD10" s="1751">
        <f>AD6+39</f>
        <v>44329</v>
      </c>
      <c r="AE10" s="1753" t="s">
        <v>729</v>
      </c>
      <c r="AF10" s="563"/>
      <c r="AG10" s="362" t="s">
        <v>726</v>
      </c>
      <c r="AH10" s="363">
        <f>DATE(AG4,5,1)</f>
        <v>45047</v>
      </c>
    </row>
    <row r="11" spans="1:34" ht="15" customHeight="1" thickTop="1" thickBot="1" x14ac:dyDescent="0.3">
      <c r="A11" s="371"/>
      <c r="B11" s="1331"/>
      <c r="C11" s="1332">
        <f>SUM(C5:C10)</f>
        <v>0</v>
      </c>
      <c r="D11" s="1333"/>
      <c r="E11" s="1334">
        <f>SUM(E5:E10)</f>
        <v>0.3125</v>
      </c>
      <c r="F11" s="1333"/>
      <c r="G11" s="1334">
        <f>SUM(G5:G9)</f>
        <v>1.0416666666666666E-2</v>
      </c>
      <c r="H11" s="1333"/>
      <c r="I11" s="1334">
        <f>SUM(I5:I9)</f>
        <v>2.0833333333333332E-2</v>
      </c>
      <c r="J11" s="1333"/>
      <c r="K11" s="1334">
        <f>SUM(K5:K9)</f>
        <v>3.125E-2</v>
      </c>
      <c r="L11" s="1333"/>
      <c r="M11" s="1334">
        <f>SUM(M5:M9)</f>
        <v>0</v>
      </c>
      <c r="N11" s="1333"/>
      <c r="O11" s="1334">
        <f>SUM(O5:O9)</f>
        <v>0</v>
      </c>
      <c r="P11" s="1335"/>
      <c r="R11" s="379"/>
      <c r="S11" s="391" t="s">
        <v>767</v>
      </c>
      <c r="T11" s="379"/>
      <c r="U11" s="379"/>
      <c r="V11" s="379"/>
      <c r="W11" s="379"/>
      <c r="X11" s="379"/>
      <c r="Y11" s="379"/>
      <c r="Z11" s="379"/>
      <c r="AC11" s="1755">
        <f t="shared" si="0"/>
        <v>44339</v>
      </c>
      <c r="AD11" s="1751">
        <f>AD6+49</f>
        <v>44339</v>
      </c>
      <c r="AE11" s="1753" t="s">
        <v>731</v>
      </c>
      <c r="AF11" s="563"/>
      <c r="AG11" s="362" t="s">
        <v>728</v>
      </c>
      <c r="AH11" s="363">
        <f>DATE(AG4,5,8)</f>
        <v>45054</v>
      </c>
    </row>
    <row r="12" spans="1:34" ht="30" customHeight="1" x14ac:dyDescent="0.25">
      <c r="A12" s="371"/>
      <c r="B12" s="1590">
        <f>D16</f>
        <v>44243</v>
      </c>
      <c r="C12" s="1591"/>
      <c r="D12" s="1591"/>
      <c r="E12" s="1591"/>
      <c r="F12" s="1591"/>
      <c r="G12" s="1591"/>
      <c r="H12" s="1591"/>
      <c r="I12" s="1591"/>
      <c r="J12" s="1591"/>
      <c r="K12" s="1591"/>
      <c r="L12" s="1591"/>
      <c r="M12" s="1591"/>
      <c r="N12" s="1591"/>
      <c r="O12" s="1591"/>
      <c r="P12" s="1592"/>
      <c r="Q12" s="386"/>
      <c r="R12" s="1176" t="s">
        <v>959</v>
      </c>
      <c r="S12" s="386"/>
      <c r="T12" s="386"/>
      <c r="U12" s="386"/>
      <c r="V12" s="386"/>
      <c r="W12" s="386"/>
      <c r="X12" s="386"/>
      <c r="Y12" s="386"/>
      <c r="Z12" s="386"/>
      <c r="AC12" s="1755">
        <f t="shared" si="0"/>
        <v>44340</v>
      </c>
      <c r="AD12" s="1751">
        <f>AD11+1</f>
        <v>44340</v>
      </c>
      <c r="AE12" s="1753" t="s">
        <v>732</v>
      </c>
      <c r="AF12" s="563"/>
      <c r="AG12" s="362" t="s">
        <v>729</v>
      </c>
      <c r="AH12" s="363">
        <f>AH8+39</f>
        <v>45064</v>
      </c>
    </row>
    <row r="13" spans="1:34" s="371" customFormat="1" ht="29.25" customHeight="1" thickBot="1" x14ac:dyDescent="0.3">
      <c r="B13" s="1586" t="s">
        <v>752</v>
      </c>
      <c r="C13" s="1587"/>
      <c r="D13" s="1587" t="s">
        <v>753</v>
      </c>
      <c r="E13" s="1587"/>
      <c r="F13" s="1587" t="s">
        <v>754</v>
      </c>
      <c r="G13" s="1587"/>
      <c r="H13" s="1587" t="s">
        <v>755</v>
      </c>
      <c r="I13" s="1587"/>
      <c r="J13" s="1587" t="s">
        <v>756</v>
      </c>
      <c r="K13" s="1587"/>
      <c r="L13" s="1588" t="s">
        <v>757</v>
      </c>
      <c r="M13" s="1588"/>
      <c r="N13" s="1589" t="s">
        <v>758</v>
      </c>
      <c r="O13" s="1589"/>
      <c r="P13" s="1327" t="s">
        <v>759</v>
      </c>
      <c r="Q13" s="386"/>
      <c r="R13" s="716" t="s">
        <v>960</v>
      </c>
      <c r="S13" s="387"/>
      <c r="T13" s="387"/>
      <c r="U13" s="387"/>
      <c r="V13" s="387"/>
      <c r="W13" s="387"/>
      <c r="X13" s="387"/>
      <c r="Y13" s="387"/>
      <c r="Z13" s="387"/>
      <c r="AC13" s="1755">
        <f t="shared" si="0"/>
        <v>44391</v>
      </c>
      <c r="AD13" s="1751">
        <f>DATE(AC4,7,14)</f>
        <v>44391</v>
      </c>
      <c r="AE13" s="1753" t="s">
        <v>733</v>
      </c>
      <c r="AF13" s="563"/>
      <c r="AG13" s="362" t="s">
        <v>731</v>
      </c>
      <c r="AH13" s="363">
        <f>AH8+49</f>
        <v>45074</v>
      </c>
    </row>
    <row r="14" spans="1:34" s="371" customFormat="1" ht="15" customHeight="1" thickTop="1" thickBot="1" x14ac:dyDescent="0.3">
      <c r="B14" s="1445">
        <f>IF(DAY(Fév_Dim1)=1,"",IF(AND(YEAR(Fév_Dim1+1)=Année_Calendaire,MONTH(Fév_Dim1+1)=2),Fév_Dim1+1,""))</f>
        <v>44228</v>
      </c>
      <c r="C14" s="1724"/>
      <c r="D14" s="1449">
        <f>IF(DAY(Fév_Dim1)=1,"",IF(AND(YEAR(Fév_Dim1+2)=Année_Calendaire,MONTH(Fév_Dim1+2)=2),Fév_Dim1+2,""))</f>
        <v>44229</v>
      </c>
      <c r="E14" s="1724"/>
      <c r="F14" s="1449">
        <f>IF(DAY(Fév_Dim1)=1,"",IF(AND(YEAR(Fév_Dim1+3)=Année_Calendaire,MONTH(Fév_Dim1+3)=2),Fév_Dim1+3,""))</f>
        <v>44230</v>
      </c>
      <c r="G14" s="1724"/>
      <c r="H14" s="1449">
        <f>IF(DAY(Fév_Dim1)=1,"",IF(AND(YEAR(Fév_Dim1+4)=Année_Calendaire,MONTH(Fév_Dim1+4)=2),Fév_Dim1+4,""))</f>
        <v>44231</v>
      </c>
      <c r="I14" s="1724"/>
      <c r="J14" s="1449">
        <f>IF(DAY(Fév_Dim1)=1,"",IF(AND(YEAR(Fév_Dim1+5)=Année_Calendaire,MONTH(Fév_Dim1+5)=2),Fév_Dim1+5,""))</f>
        <v>44232</v>
      </c>
      <c r="K14" s="1724"/>
      <c r="L14" s="1442">
        <f>IF(DAY(Fév_Dim1)=1,"",IF(AND(YEAR(Fév_Dim1+6)=Année_Calendaire,MONTH(Fév_Dim1+6)=2),Fév_Dim1+6,""))</f>
        <v>44233</v>
      </c>
      <c r="M14" s="1724"/>
      <c r="N14" s="1439">
        <f>IF(DAY(Fév_Dim1)=1,IF(AND(YEAR(Fév_Dim1)=Année_Calendaire,MONTH(Fév_Dim1)=2),Fév_Dim1,""),IF(AND(YEAR(Fév_Dim1+7)=Année_Calendaire,MONTH(Fév_Dim1+7)=2),Fév_Dim1+7,""))</f>
        <v>44234</v>
      </c>
      <c r="O14" s="1724"/>
      <c r="P14" s="1328">
        <f>C14+E14+G14+I14+K14+M14+O14</f>
        <v>0</v>
      </c>
      <c r="Q14" s="387"/>
      <c r="R14" s="1177"/>
      <c r="S14" s="375" t="s">
        <v>749</v>
      </c>
      <c r="T14" s="1585">
        <v>0.375</v>
      </c>
      <c r="U14" s="1585"/>
      <c r="V14" s="375">
        <v>4</v>
      </c>
      <c r="W14" s="374" t="s">
        <v>750</v>
      </c>
      <c r="X14" s="375" t="s">
        <v>751</v>
      </c>
      <c r="Y14" s="376">
        <v>9.375E-2</v>
      </c>
      <c r="AC14" s="1755">
        <f t="shared" si="0"/>
        <v>44423</v>
      </c>
      <c r="AD14" s="1751">
        <f>DATE(AC4,8,15)</f>
        <v>44423</v>
      </c>
      <c r="AE14" s="1753" t="s">
        <v>586</v>
      </c>
      <c r="AF14" s="563"/>
      <c r="AG14" s="362" t="s">
        <v>732</v>
      </c>
      <c r="AH14" s="363">
        <f>AH8+50</f>
        <v>45075</v>
      </c>
    </row>
    <row r="15" spans="1:34" ht="15" customHeight="1" thickTop="1" x14ac:dyDescent="0.25">
      <c r="A15" s="371"/>
      <c r="B15" s="1446">
        <f>IF(DAY(Fév_Dim1)=1,IF(AND(YEAR(Fév_Dim1+1)=Année_Calendaire,MONTH(Fév_Dim1+1)=2),Fév_Dim1+1,""),IF(AND(YEAR(Fév_Dim1+8)=Année_Calendaire,MONTH(Fév_Dim1+8)=2),Fév_Dim1+8,""))</f>
        <v>44235</v>
      </c>
      <c r="C15" s="1725"/>
      <c r="D15" s="1450">
        <f>IF(DAY(Fév_Dim1)=1,IF(AND(YEAR(Fév_Dim1+2)=Année_Calendaire,MONTH(Fév_Dim1+2)=2),Fév_Dim1+2,""),IF(AND(YEAR(Fév_Dim1+9)=Année_Calendaire,MONTH(Fév_Dim1+9)=2),Fév_Dim1+9,""))</f>
        <v>44236</v>
      </c>
      <c r="E15" s="1725"/>
      <c r="F15" s="1450">
        <f>IF(DAY(Fév_Dim1)=1,IF(AND(YEAR(Fév_Dim1+3)=Année_Calendaire,MONTH(Fév_Dim1+3)=2),Fév_Dim1+3,""),IF(AND(YEAR(Fév_Dim1+10)=Année_Calendaire,MONTH(Fév_Dim1+10)=2),Fév_Dim1+10,""))</f>
        <v>44237</v>
      </c>
      <c r="G15" s="1725"/>
      <c r="H15" s="1450">
        <f>IF(DAY(Fév_Dim1)=1,IF(AND(YEAR(Fév_Dim1+4)=Année_Calendaire,MONTH(Fév_Dim1+4)=2),Fév_Dim1+4,""),IF(AND(YEAR(Fév_Dim1+11)=Année_Calendaire,MONTH(Fév_Dim1+11)=2),Fév_Dim1+11,""))</f>
        <v>44238</v>
      </c>
      <c r="I15" s="1725"/>
      <c r="J15" s="1450">
        <f>IF(DAY(Fév_Dim1)=1,IF(AND(YEAR(Fév_Dim1+5)=Année_Calendaire,MONTH(Fév_Dim1+5)=2),Fév_Dim1+5,""),IF(AND(YEAR(Fév_Dim1+12)=Année_Calendaire,MONTH(Fév_Dim1+12)=2),Fév_Dim1+12,""))</f>
        <v>44239</v>
      </c>
      <c r="K15" s="1725"/>
      <c r="L15" s="1443">
        <f>IF(DAY(Fév_Dim1)=1,IF(AND(YEAR(Fév_Dim1+6)=Année_Calendaire,MONTH(Fév_Dim1+6)=2),Fév_Dim1+6,""),IF(AND(YEAR(Fév_Dim1+13)=Année_Calendaire,MONTH(Fév_Dim1+13)=2),Fév_Dim1+13,""))</f>
        <v>44240</v>
      </c>
      <c r="M15" s="1725"/>
      <c r="N15" s="1440">
        <f>IF(DAY(Fév_Dim1)=1,IF(AND(YEAR(Fév_Dim1+7)=Année_Calendaire,MONTH(Fév_Dim1+7)=2),Fév_Dim1+7,""),IF(AND(YEAR(Fév_Dim1+14)=Année_Calendaire,MONTH(Fév_Dim1+14)=2),Fév_Dim1+14,""))</f>
        <v>44241</v>
      </c>
      <c r="O15" s="1725"/>
      <c r="P15" s="1329">
        <f>C15+E15+G15+I15+K15+M15+O15</f>
        <v>0</v>
      </c>
      <c r="Q15" s="386"/>
      <c r="R15" s="386"/>
      <c r="S15" s="386"/>
      <c r="T15" s="386"/>
      <c r="U15" s="386"/>
      <c r="V15" s="386"/>
      <c r="W15" s="386"/>
      <c r="X15" s="386"/>
      <c r="Y15" s="386"/>
      <c r="Z15" s="386"/>
      <c r="AC15" s="1755">
        <f t="shared" si="0"/>
        <v>44501</v>
      </c>
      <c r="AD15" s="1751">
        <f>DATE(AC4,11,1)</f>
        <v>44501</v>
      </c>
      <c r="AE15" s="1753" t="s">
        <v>735</v>
      </c>
      <c r="AF15" s="563"/>
      <c r="AG15" s="362" t="s">
        <v>733</v>
      </c>
      <c r="AH15" s="363">
        <f>DATE(AG4,7,14)</f>
        <v>45121</v>
      </c>
    </row>
    <row r="16" spans="1:34" ht="15" customHeight="1" x14ac:dyDescent="0.25">
      <c r="A16" s="371"/>
      <c r="B16" s="1447">
        <f>IF(DAY(Fév_Dim1)=1,IF(AND(YEAR(Fév_Dim1+8)=Année_Calendaire,MONTH(Fév_Dim1+8)=2),Fév_Dim1+8,""),IF(AND(YEAR(Fév_Dim1+15)=Année_Calendaire,MONTH(Fév_Dim1+15)=2),Fév_Dim1+15,""))</f>
        <v>44242</v>
      </c>
      <c r="C16" s="1725"/>
      <c r="D16" s="1451">
        <f>IF(DAY(Fév_Dim1)=1,IF(AND(YEAR(Fév_Dim1+9)=Année_Calendaire,MONTH(Fév_Dim1+9)=2),Fév_Dim1+9,""),IF(AND(YEAR(Fév_Dim1+16)=Année_Calendaire,MONTH(Fév_Dim1+16)=2),Fév_Dim1+16,""))</f>
        <v>44243</v>
      </c>
      <c r="E16" s="1725"/>
      <c r="F16" s="1451">
        <f>IF(DAY(Fév_Dim1)=1,IF(AND(YEAR(Fév_Dim1+10)=Année_Calendaire,MONTH(Fév_Dim1+10)=2),Fév_Dim1+10,""),IF(AND(YEAR(Fév_Dim1+17)=Année_Calendaire,MONTH(Fév_Dim1+17)=2),Fév_Dim1+17,""))</f>
        <v>44244</v>
      </c>
      <c r="G16" s="1725"/>
      <c r="H16" s="1451">
        <f>IF(DAY(Fév_Dim1)=1,IF(AND(YEAR(Fév_Dim1+11)=Année_Calendaire,MONTH(Fév_Dim1+11)=2),Fév_Dim1+11,""),IF(AND(YEAR(Fév_Dim1+18)=Année_Calendaire,MONTH(Fév_Dim1+18)=2),Fév_Dim1+18,""))</f>
        <v>44245</v>
      </c>
      <c r="I16" s="1725"/>
      <c r="J16" s="1451">
        <f>IF(DAY(Fév_Dim1)=1,IF(AND(YEAR(Fév_Dim1+12)=Année_Calendaire,MONTH(Fév_Dim1+12)=2),Fév_Dim1+12,""),IF(AND(YEAR(Fév_Dim1+19)=Année_Calendaire,MONTH(Fév_Dim1+19)=2),Fév_Dim1+19,""))</f>
        <v>44246</v>
      </c>
      <c r="K16" s="1725"/>
      <c r="L16" s="1444">
        <f>IF(DAY(Fév_Dim1)=1,IF(AND(YEAR(Fév_Dim1+13)=Année_Calendaire,MONTH(Fév_Dim1+13)=2),Fév_Dim1+13,""),IF(AND(YEAR(Fév_Dim1+20)=Année_Calendaire,MONTH(Fév_Dim1+20)=2),Fév_Dim1+20,""))</f>
        <v>44247</v>
      </c>
      <c r="M16" s="1725"/>
      <c r="N16" s="1441">
        <f>IF(DAY(Fév_Dim1)=1,IF(AND(YEAR(Fév_Dim1+14)=Année_Calendaire,MONTH(Fév_Dim1+14)=2),Fév_Dim1+14,""),IF(AND(YEAR(Fév_Dim1+21)=Année_Calendaire,MONTH(Fév_Dim1+21)=2),Fév_Dim1+21,""))</f>
        <v>44248</v>
      </c>
      <c r="O16" s="1725"/>
      <c r="P16" s="1329">
        <f>C16+E16+G16+I16+K16+M16+O16</f>
        <v>0</v>
      </c>
      <c r="Q16" s="386"/>
      <c r="R16" s="386"/>
      <c r="S16" s="386"/>
      <c r="T16" s="386"/>
      <c r="U16" s="386"/>
      <c r="V16" s="386"/>
      <c r="W16" s="386"/>
      <c r="X16" s="386"/>
      <c r="Y16" s="386"/>
      <c r="Z16" s="386"/>
      <c r="AC16" s="1755">
        <f t="shared" si="0"/>
        <v>44511</v>
      </c>
      <c r="AD16" s="1751">
        <f>DATE(AC4,11,11)</f>
        <v>44511</v>
      </c>
      <c r="AE16" s="1753" t="s">
        <v>587</v>
      </c>
      <c r="AF16" s="563"/>
      <c r="AG16" s="362" t="s">
        <v>586</v>
      </c>
      <c r="AH16" s="363">
        <f>DATE(AG4,8,15)</f>
        <v>45153</v>
      </c>
    </row>
    <row r="17" spans="1:34" ht="15" customHeight="1" x14ac:dyDescent="0.25">
      <c r="A17" s="371"/>
      <c r="B17" s="1446">
        <f>IF(DAY(Fév_Dim1)=1,IF(AND(YEAR(Fév_Dim1+15)=Année_Calendaire,MONTH(Fév_Dim1+15)=2),Fév_Dim1+15,""),IF(AND(YEAR(Fév_Dim1+22)=Année_Calendaire,MONTH(Fév_Dim1+22)=2),Fév_Dim1+22,""))</f>
        <v>44249</v>
      </c>
      <c r="C17" s="1725"/>
      <c r="D17" s="1450">
        <f>IF(DAY(Fév_Dim1)=1,IF(AND(YEAR(Fév_Dim1+16)=Année_Calendaire,MONTH(Fév_Dim1+16)=2),Fév_Dim1+16,""),IF(AND(YEAR(Fév_Dim1+23)=Année_Calendaire,MONTH(Fév_Dim1+23)=2),Fév_Dim1+23,""))</f>
        <v>44250</v>
      </c>
      <c r="E17" s="1725"/>
      <c r="F17" s="1450">
        <f>IF(DAY(Fév_Dim1)=1,IF(AND(YEAR(Fév_Dim1+17)=Année_Calendaire,MONTH(Fév_Dim1+17)=2),Fév_Dim1+17,""),IF(AND(YEAR(Fév_Dim1+24)=Année_Calendaire,MONTH(Fév_Dim1+24)=2),Fév_Dim1+24,""))</f>
        <v>44251</v>
      </c>
      <c r="G17" s="1725"/>
      <c r="H17" s="1450">
        <f>IF(DAY(Fév_Dim1)=1,IF(AND(YEAR(Fév_Dim1+18)=Année_Calendaire,MONTH(Fév_Dim1+18)=2),Fév_Dim1+18,""),IF(AND(YEAR(Fév_Dim1+25)=Année_Calendaire,MONTH(Fév_Dim1+25)=2),Fév_Dim1+25,""))</f>
        <v>44252</v>
      </c>
      <c r="I17" s="1725"/>
      <c r="J17" s="1450">
        <f>IF(DAY(Fév_Dim1)=1,IF(AND(YEAR(Fév_Dim1+19)=Année_Calendaire,MONTH(Fév_Dim1+19)=2),Fév_Dim1+19,""),IF(AND(YEAR(Fév_Dim1+26)=Année_Calendaire,MONTH(Fév_Dim1+26)=2),Fév_Dim1+26,""))</f>
        <v>44253</v>
      </c>
      <c r="K17" s="1725"/>
      <c r="L17" s="1443">
        <f>IF(DAY(Fév_Dim1)=1,IF(AND(YEAR(Fév_Dim1+20)=Année_Calendaire,MONTH(Fév_Dim1+20)=2),Fév_Dim1+20,""),IF(AND(YEAR(Fév_Dim1+27)=Année_Calendaire,MONTH(Fév_Dim1+27)=2),Fév_Dim1+27,""))</f>
        <v>44254</v>
      </c>
      <c r="M17" s="1725"/>
      <c r="N17" s="1440">
        <f>IF(DAY(Fév_Dim1)=1,IF(AND(YEAR(Fév_Dim1+21)=Année_Calendaire,MONTH(Fév_Dim1+21)=2),Fév_Dim1+21,""),IF(AND(YEAR(Fév_Dim1+28)=Année_Calendaire,MONTH(Fév_Dim1+28)=2),Fév_Dim1+28,""))</f>
        <v>44255</v>
      </c>
      <c r="O17" s="1725"/>
      <c r="P17" s="1329">
        <f>C17+E17+G17+I17+K17+M17+O17</f>
        <v>0</v>
      </c>
      <c r="Q17" s="386"/>
      <c r="R17" s="386"/>
      <c r="S17" s="386"/>
      <c r="T17" s="386"/>
      <c r="U17" s="386"/>
      <c r="V17" s="386"/>
      <c r="W17" s="386"/>
      <c r="X17" s="386"/>
      <c r="Y17" s="386"/>
      <c r="Z17" s="386"/>
      <c r="AC17" s="1755">
        <f t="shared" si="0"/>
        <v>44555</v>
      </c>
      <c r="AD17" s="1751">
        <f>DATE(AC4,12,25)</f>
        <v>44555</v>
      </c>
      <c r="AE17" s="1753" t="s">
        <v>723</v>
      </c>
      <c r="AF17" s="563"/>
      <c r="AG17" s="362" t="s">
        <v>735</v>
      </c>
      <c r="AH17" s="363">
        <f>DATE(AG4,11,1)</f>
        <v>45231</v>
      </c>
    </row>
    <row r="18" spans="1:34" ht="15" customHeight="1" thickBot="1" x14ac:dyDescent="0.3">
      <c r="A18" s="371"/>
      <c r="B18" s="1447" t="str">
        <f>IF(DAY(Fév_Dim1)=1,IF(AND(YEAR(Fév_Dim1+22)=Année_Calendaire,MONTH(Fév_Dim1+22)=2),Fév_Dim1+22,""),IF(AND(YEAR(Fév_Dim1+29)=Année_Calendaire,MONTH(Fév_Dim1+29)=2),Fév_Dim1+29,""))</f>
        <v/>
      </c>
      <c r="C18" s="1725"/>
      <c r="D18" s="1451" t="str">
        <f>IF(DAY(Fév_Dim1)=1,IF(AND(YEAR(Fév_Dim1+23)=Année_Calendaire,MONTH(Fév_Dim1+23)=2),Fév_Dim1+23,""),IF(AND(YEAR(Fév_Dim1+30)=Année_Calendaire,MONTH(Fév_Dim1+30)=2),Fév_Dim1+30,""))</f>
        <v/>
      </c>
      <c r="E18" s="1725"/>
      <c r="F18" s="1451" t="str">
        <f>IF(DAY(Fév_Dim1)=1,IF(AND(YEAR(Fév_Dim1+24)=Année_Calendaire,MONTH(Fév_Dim1+24)=2),Fév_Dim1+24,""),IF(AND(YEAR(Fév_Dim1+31)=Année_Calendaire,MONTH(Fév_Dim1+31)=2),Fév_Dim1+31,""))</f>
        <v/>
      </c>
      <c r="G18" s="1726"/>
      <c r="H18" s="1451" t="str">
        <f>IF(DAY(Fév_Dim1)=1,IF(AND(YEAR(Fév_Dim1+25)=Année_Calendaire,MONTH(Fév_Dim1+25)=2),Fév_Dim1+25,""),IF(AND(YEAR(Fév_Dim1+32)=Année_Calendaire,MONTH(Fév_Dim1+32)=2),Fév_Dim1+32,""))</f>
        <v/>
      </c>
      <c r="I18" s="1726"/>
      <c r="J18" s="1451" t="str">
        <f>IF(DAY(Fév_Dim1)=1,IF(AND(YEAR(Fév_Dim1+26)=Année_Calendaire,MONTH(Fév_Dim1+26)=2),Fév_Dim1+26,""),IF(AND(YEAR(Fév_Dim1+33)=Année_Calendaire,MONTH(Fév_Dim1+33)=2),Fév_Dim1+33,""))</f>
        <v/>
      </c>
      <c r="K18" s="1726"/>
      <c r="L18" s="1444" t="str">
        <f>IF(DAY(Fév_Dim1)=1,IF(AND(YEAR(Fév_Dim1+27)=Année_Calendaire,MONTH(Fév_Dim1+27)=2),Fév_Dim1+27,""),IF(AND(YEAR(Fév_Dim1+34)=Année_Calendaire,MONTH(Fév_Dim1+34)=2),Fév_Dim1+34,""))</f>
        <v/>
      </c>
      <c r="M18" s="1726"/>
      <c r="N18" s="1441" t="str">
        <f>IF(DAY(Fév_Dim1)=1,IF(AND(YEAR(Fév_Dim1+28)=Année_Calendaire,MONTH(Fév_Dim1+28)=2),Fév_Dim1+28,""),IF(AND(YEAR(Fév_Dim1+35)=Année_Calendaire,MONTH(Fév_Dim1+35)=2),Fév_Dim1+35,""))</f>
        <v/>
      </c>
      <c r="O18" s="1726"/>
      <c r="P18" s="1329">
        <f>C18+E18+G18+I18+K18+M18+O18</f>
        <v>0</v>
      </c>
      <c r="Q18" s="386"/>
      <c r="R18" s="386"/>
      <c r="S18" s="386"/>
      <c r="T18" s="386"/>
      <c r="U18" s="386"/>
      <c r="V18" s="386"/>
      <c r="W18" s="386"/>
      <c r="X18" s="386"/>
      <c r="Y18" s="386"/>
      <c r="Z18" s="386"/>
      <c r="AC18" s="1756">
        <f>AC21</f>
        <v>44562</v>
      </c>
      <c r="AD18" s="1752">
        <f>AD21</f>
        <v>44562</v>
      </c>
      <c r="AE18" s="1754" t="s">
        <v>721</v>
      </c>
      <c r="AF18" s="563"/>
      <c r="AG18" s="362" t="s">
        <v>587</v>
      </c>
      <c r="AH18" s="363">
        <f>DATE(AG4,11,11)</f>
        <v>45241</v>
      </c>
    </row>
    <row r="19" spans="1:34" ht="15" customHeight="1" thickTop="1" thickBot="1" x14ac:dyDescent="0.3">
      <c r="A19" s="371"/>
      <c r="B19" s="1448" t="str">
        <f>IF(DAY(Fév_Dim1)=1,IF(AND(YEAR(Fév_Dim1+29)=Année_Calendaire,MONTH(Fév_Dim1+29)=2),Fév_Dim1+29,""),IF(AND(YEAR(Fév_Dim1+36)=Année_Calendaire,MONTH(Fév_Dim1+36)=2),Fév_Dim1+36,""))</f>
        <v/>
      </c>
      <c r="C19" s="1726"/>
      <c r="D19" s="1452" t="str">
        <f>IF(DAY(Fév_Dim1)=1,IF(AND(YEAR(Fév_Dim1+30)=Année_Calendaire,MONTH(Fév_Dim1+30)=2),Fév_Dim1+30,""),IF(AND(YEAR(Fév_Dim1+37)=Année_Calendaire,MONTH(Fév_Dim1+37)=2),Fév_Dim1+37,""))</f>
        <v/>
      </c>
      <c r="E19" s="1726"/>
      <c r="F19" s="373"/>
      <c r="G19" s="374"/>
      <c r="H19" s="375" t="s">
        <v>749</v>
      </c>
      <c r="I19" s="1585">
        <f>SUM(B20:O20)</f>
        <v>0</v>
      </c>
      <c r="J19" s="1585"/>
      <c r="K19" s="375">
        <f>COUNTA(C14:C19,E14:E19,G14:G18,I14:I18,K14:K18,M14:M18,O14:O18)</f>
        <v>0</v>
      </c>
      <c r="L19" s="374" t="s">
        <v>750</v>
      </c>
      <c r="M19" s="374"/>
      <c r="N19" s="375" t="s">
        <v>751</v>
      </c>
      <c r="O19" s="376" t="e">
        <f>I19/K19</f>
        <v>#DIV/0!</v>
      </c>
      <c r="P19" s="1330">
        <f>C19+E19</f>
        <v>0</v>
      </c>
      <c r="Q19" s="386"/>
      <c r="R19" s="386"/>
      <c r="S19" s="386"/>
      <c r="T19" s="386"/>
      <c r="U19" s="386"/>
      <c r="V19" s="386"/>
      <c r="W19" s="386"/>
      <c r="X19" s="386"/>
      <c r="Y19" s="386"/>
      <c r="Z19" s="386"/>
      <c r="AC19" s="497"/>
      <c r="AD19" s="497"/>
      <c r="AE19" s="497"/>
      <c r="AF19" s="563"/>
      <c r="AG19" s="362" t="s">
        <v>723</v>
      </c>
      <c r="AH19" s="363">
        <f>DATE(AG4,12,25)</f>
        <v>45285</v>
      </c>
    </row>
    <row r="20" spans="1:34" ht="15" customHeight="1" thickTop="1" thickBot="1" x14ac:dyDescent="0.3">
      <c r="A20" s="371"/>
      <c r="B20" s="1331"/>
      <c r="C20" s="1332">
        <f>SUM(C14:C19)</f>
        <v>0</v>
      </c>
      <c r="D20" s="1333"/>
      <c r="E20" s="1334">
        <f>SUM(E14:E19)</f>
        <v>0</v>
      </c>
      <c r="F20" s="1333"/>
      <c r="G20" s="1334">
        <f>SUM(G14:G18)</f>
        <v>0</v>
      </c>
      <c r="H20" s="1333"/>
      <c r="I20" s="1334">
        <f>SUM(I14:I18)</f>
        <v>0</v>
      </c>
      <c r="J20" s="1333"/>
      <c r="K20" s="1334">
        <f>SUM(K14:K18)</f>
        <v>0</v>
      </c>
      <c r="L20" s="1333"/>
      <c r="M20" s="1334">
        <f>SUM(M14:M18)</f>
        <v>0</v>
      </c>
      <c r="N20" s="1333"/>
      <c r="O20" s="1334">
        <f>SUM(O14:O18)</f>
        <v>0</v>
      </c>
      <c r="P20" s="1335"/>
      <c r="Q20" s="386"/>
      <c r="R20" s="386"/>
      <c r="S20" s="386"/>
      <c r="T20" s="386"/>
      <c r="U20" s="386"/>
      <c r="V20" s="386"/>
      <c r="W20" s="386"/>
      <c r="X20" s="386"/>
      <c r="Y20" s="386"/>
      <c r="Z20" s="386"/>
      <c r="AC20" s="1490">
        <f>AC4+1</f>
        <v>2022</v>
      </c>
      <c r="AD20" s="1491"/>
      <c r="AE20" s="1492"/>
      <c r="AF20" s="563"/>
      <c r="AG20" s="369" t="s">
        <v>721</v>
      </c>
      <c r="AH20" s="370">
        <f>DATE(AG4+1,1,1)</f>
        <v>45292</v>
      </c>
    </row>
    <row r="21" spans="1:34" ht="30" customHeight="1" x14ac:dyDescent="0.25">
      <c r="A21" s="371"/>
      <c r="B21" s="1590">
        <f>D25</f>
        <v>44271</v>
      </c>
      <c r="C21" s="1591"/>
      <c r="D21" s="1591"/>
      <c r="E21" s="1591"/>
      <c r="F21" s="1591"/>
      <c r="G21" s="1591"/>
      <c r="H21" s="1591"/>
      <c r="I21" s="1591"/>
      <c r="J21" s="1591"/>
      <c r="K21" s="1591"/>
      <c r="L21" s="1591"/>
      <c r="M21" s="1591"/>
      <c r="N21" s="1591"/>
      <c r="O21" s="1591"/>
      <c r="P21" s="1592"/>
      <c r="Q21" s="386"/>
      <c r="R21" s="386"/>
      <c r="S21" s="386"/>
      <c r="T21" s="386"/>
      <c r="U21" s="386"/>
      <c r="V21" s="386"/>
      <c r="W21" s="386"/>
      <c r="X21" s="386"/>
      <c r="Y21" s="386"/>
      <c r="Z21" s="386"/>
      <c r="AC21" s="1755">
        <f>AD21</f>
        <v>44562</v>
      </c>
      <c r="AD21" s="1751">
        <f>DATE(AC4+1,1,1)</f>
        <v>44562</v>
      </c>
      <c r="AE21" s="1753" t="s">
        <v>721</v>
      </c>
      <c r="AF21" s="563"/>
      <c r="AG21" s="386" t="s">
        <v>1070</v>
      </c>
      <c r="AH21" s="563"/>
    </row>
    <row r="22" spans="1:34" s="371" customFormat="1" ht="29.25" customHeight="1" x14ac:dyDescent="0.25">
      <c r="B22" s="1586" t="s">
        <v>752</v>
      </c>
      <c r="C22" s="1587"/>
      <c r="D22" s="1587" t="s">
        <v>753</v>
      </c>
      <c r="E22" s="1587"/>
      <c r="F22" s="1587" t="s">
        <v>754</v>
      </c>
      <c r="G22" s="1587"/>
      <c r="H22" s="1587" t="s">
        <v>755</v>
      </c>
      <c r="I22" s="1587"/>
      <c r="J22" s="1587" t="s">
        <v>756</v>
      </c>
      <c r="K22" s="1587"/>
      <c r="L22" s="1588" t="s">
        <v>757</v>
      </c>
      <c r="M22" s="1588"/>
      <c r="N22" s="1589" t="s">
        <v>758</v>
      </c>
      <c r="O22" s="1589"/>
      <c r="P22" s="1327" t="s">
        <v>759</v>
      </c>
      <c r="Q22" s="386"/>
      <c r="R22" s="387"/>
      <c r="S22" s="387"/>
      <c r="T22" s="387"/>
      <c r="U22" s="387"/>
      <c r="V22" s="387"/>
      <c r="W22" s="387"/>
      <c r="X22" s="387"/>
      <c r="Y22" s="387"/>
      <c r="Z22" s="387"/>
      <c r="AC22" s="1755">
        <f t="shared" ref="AC22:AC33" si="1">AD22</f>
        <v>44668</v>
      </c>
      <c r="AD22" s="1751">
        <f>DATE(AC4+1,3,29.56+0.979*MOD(204-11*MOD(AC4+1,19),30)-WEEKDAY(DATE(AC4+1,3,28.56+0.979*MOD(204-11*MOD(AC4+1,19),30))))</f>
        <v>44668</v>
      </c>
      <c r="AE22" s="1753" t="s">
        <v>585</v>
      </c>
      <c r="AF22" s="563"/>
      <c r="AG22" s="563"/>
      <c r="AH22" s="563"/>
    </row>
    <row r="23" spans="1:34" s="371" customFormat="1" ht="15" customHeight="1" x14ac:dyDescent="0.25">
      <c r="B23" s="1445">
        <f>IF(DAY(Mar_Dim1)=1,"",IF(AND(YEAR(Mar_Dim1+1)=Année_Calendaire,MONTH(Mar_Dim1+1)=3),Mar_Dim1+1,""))</f>
        <v>44256</v>
      </c>
      <c r="C23" s="1724"/>
      <c r="D23" s="1449">
        <f>IF(DAY(Mar_Dim1)=1,"",IF(AND(YEAR(Mar_Dim1+2)=Année_Calendaire,MONTH(Mar_Dim1+2)=3),Mar_Dim1+2,""))</f>
        <v>44257</v>
      </c>
      <c r="E23" s="1724"/>
      <c r="F23" s="1449">
        <f>IF(DAY(Mar_Dim1)=1,"",IF(AND(YEAR(Mar_Dim1+3)=Année_Calendaire,MONTH(Mar_Dim1+3)=3),Mar_Dim1+3,""))</f>
        <v>44258</v>
      </c>
      <c r="G23" s="1724"/>
      <c r="H23" s="1449">
        <f>IF(DAY(Mar_Dim1)=1,"",IF(AND(YEAR(Mar_Dim1+4)=Année_Calendaire,MONTH(Mar_Dim1+4)=3),Mar_Dim1+4,""))</f>
        <v>44259</v>
      </c>
      <c r="I23" s="1724"/>
      <c r="J23" s="1449">
        <f>IF(DAY(Mar_Dim1)=1,"",IF(AND(YEAR(Mar_Dim1+5)=Année_Calendaire,MONTH(Mar_Dim1+5)=3),Mar_Dim1+5,""))</f>
        <v>44260</v>
      </c>
      <c r="K23" s="1724"/>
      <c r="L23" s="1442">
        <f>IF(DAY(Mar_Dim1)=1,"",IF(AND(YEAR(Mar_Dim1+6)=Année_Calendaire,MONTH(Mar_Dim1+6)=3),Mar_Dim1+6,""))</f>
        <v>44261</v>
      </c>
      <c r="M23" s="1724"/>
      <c r="N23" s="1439">
        <f>IF(DAY(Mar_Dim1)=1,IF(AND(YEAR(Mar_Dim1)=Année_Calendaire,MONTH(Mar_Dim1)=3),Mar_Dim1,""),IF(AND(YEAR(Mar_Dim1+7)=Année_Calendaire,MONTH(Mar_Dim1+7)=3),Mar_Dim1+7,""))</f>
        <v>44262</v>
      </c>
      <c r="O23" s="1724"/>
      <c r="P23" s="1328">
        <f>C23+E23+G23+I23+K23+M23+O23</f>
        <v>0</v>
      </c>
      <c r="Q23" s="387"/>
      <c r="R23" s="387"/>
      <c r="S23" s="387"/>
      <c r="T23" s="387"/>
      <c r="U23" s="387"/>
      <c r="V23" s="387"/>
      <c r="W23" s="387"/>
      <c r="X23" s="387"/>
      <c r="Y23" s="387"/>
      <c r="Z23" s="387"/>
      <c r="AC23" s="1755">
        <f t="shared" si="1"/>
        <v>44669</v>
      </c>
      <c r="AD23" s="1757">
        <f>AD22+1</f>
        <v>44669</v>
      </c>
      <c r="AE23" s="1753" t="s">
        <v>725</v>
      </c>
      <c r="AF23" s="563"/>
      <c r="AG23" s="563"/>
      <c r="AH23" s="563"/>
    </row>
    <row r="24" spans="1:34" ht="15" customHeight="1" x14ac:dyDescent="0.25">
      <c r="A24" s="371"/>
      <c r="B24" s="1446">
        <f>IF(DAY(Mar_Dim1)=1,IF(AND(YEAR(Mar_Dim1+1)=Année_Calendaire,MONTH(Mar_Dim1+1)=3),Mar_Dim1+1,""),IF(AND(YEAR(Mar_Dim1+8)=Année_Calendaire,MONTH(Mar_Dim1+8)=3),Mar_Dim1+8,""))</f>
        <v>44263</v>
      </c>
      <c r="C24" s="1725"/>
      <c r="D24" s="1450">
        <f>IF(DAY(Mar_Dim1)=1,IF(AND(YEAR(Mar_Dim1+2)=Année_Calendaire,MONTH(Mar_Dim1+2)=3),Mar_Dim1+2,""),IF(AND(YEAR(Mar_Dim1+9)=Année_Calendaire,MONTH(Mar_Dim1+9)=3),Mar_Dim1+9,""))</f>
        <v>44264</v>
      </c>
      <c r="E24" s="1725"/>
      <c r="F24" s="1450">
        <f>IF(DAY(Mar_Dim1)=1,IF(AND(YEAR(Mar_Dim1+3)=Année_Calendaire,MONTH(Mar_Dim1+3)=3),Mar_Dim1+3,""),IF(AND(YEAR(Mar_Dim1+10)=Année_Calendaire,MONTH(Mar_Dim1+10)=3),Mar_Dim1+10,""))</f>
        <v>44265</v>
      </c>
      <c r="G24" s="1725"/>
      <c r="H24" s="1450">
        <f>IF(DAY(Mar_Dim1)=1,IF(AND(YEAR(Mar_Dim1+4)=Année_Calendaire,MONTH(Mar_Dim1+4)=3),Mar_Dim1+4,""),IF(AND(YEAR(Mar_Dim1+11)=Année_Calendaire,MONTH(Mar_Dim1+11)=3),Mar_Dim1+11,""))</f>
        <v>44266</v>
      </c>
      <c r="I24" s="1725"/>
      <c r="J24" s="1450">
        <f>IF(DAY(Mar_Dim1)=1,IF(AND(YEAR(Mar_Dim1+5)=Année_Calendaire,MONTH(Mar_Dim1+5)=3),Mar_Dim1+5,""),IF(AND(YEAR(Mar_Dim1+12)=Année_Calendaire,MONTH(Mar_Dim1+12)=3),Mar_Dim1+12,""))</f>
        <v>44267</v>
      </c>
      <c r="K24" s="1725"/>
      <c r="L24" s="1443">
        <f>IF(DAY(Mar_Dim1)=1,IF(AND(YEAR(Mar_Dim1+6)=Année_Calendaire,MONTH(Mar_Dim1+6)=3),Mar_Dim1+6,""),IF(AND(YEAR(Mar_Dim1+13)=Année_Calendaire,MONTH(Mar_Dim1+13)=3),Mar_Dim1+13,""))</f>
        <v>44268</v>
      </c>
      <c r="M24" s="1725"/>
      <c r="N24" s="1440">
        <f>IF(DAY(Mar_Dim1)=1,IF(AND(YEAR(Mar_Dim1+7)=Année_Calendaire,MONTH(Mar_Dim1+7)=3),Mar_Dim1+7,""),IF(AND(YEAR(Mar_Dim1+14)=Année_Calendaire,MONTH(Mar_Dim1+14)=3),Mar_Dim1+14,""))</f>
        <v>44269</v>
      </c>
      <c r="O24" s="1725"/>
      <c r="P24" s="1329">
        <f>C24+E24+G24+I24+K24+M24+O24</f>
        <v>0</v>
      </c>
      <c r="Q24" s="386"/>
      <c r="R24" s="386"/>
      <c r="S24" s="386"/>
      <c r="T24" s="386"/>
      <c r="U24" s="386"/>
      <c r="V24" s="386"/>
      <c r="W24" s="386"/>
      <c r="X24" s="386"/>
      <c r="Y24" s="386"/>
      <c r="Z24" s="386"/>
      <c r="AC24" s="1755">
        <f t="shared" si="1"/>
        <v>44682</v>
      </c>
      <c r="AD24" s="1757">
        <f>DATE(AC4+1,5,1)</f>
        <v>44682</v>
      </c>
      <c r="AE24" s="1753" t="s">
        <v>726</v>
      </c>
      <c r="AF24" s="563"/>
      <c r="AG24" s="563"/>
      <c r="AH24" s="563"/>
    </row>
    <row r="25" spans="1:34" ht="15" customHeight="1" x14ac:dyDescent="0.25">
      <c r="A25" s="371"/>
      <c r="B25" s="1447">
        <f>IF(DAY(Mar_Dim1)=1,IF(AND(YEAR(Mar_Dim1+8)=Année_Calendaire,MONTH(Mar_Dim1+8)=3),Mar_Dim1+8,""),IF(AND(YEAR(Mar_Dim1+15)=Année_Calendaire,MONTH(Mar_Dim1+15)=3),Mar_Dim1+15,""))</f>
        <v>44270</v>
      </c>
      <c r="C25" s="1725"/>
      <c r="D25" s="1451">
        <f>IF(DAY(Mar_Dim1)=1,IF(AND(YEAR(Mar_Dim1+9)=Année_Calendaire,MONTH(Mar_Dim1+9)=3),Mar_Dim1+9,""),IF(AND(YEAR(Mar_Dim1+16)=Année_Calendaire,MONTH(Mar_Dim1+16)=3),Mar_Dim1+16,""))</f>
        <v>44271</v>
      </c>
      <c r="E25" s="1725"/>
      <c r="F25" s="1451">
        <f>IF(DAY(Mar_Dim1)=1,IF(AND(YEAR(Mar_Dim1+10)=Année_Calendaire,MONTH(Mar_Dim1+10)=3),Mar_Dim1+10,""),IF(AND(YEAR(Mar_Dim1+17)=Année_Calendaire,MONTH(Mar_Dim1+17)=3),Mar_Dim1+17,""))</f>
        <v>44272</v>
      </c>
      <c r="G25" s="1725"/>
      <c r="H25" s="1451">
        <f>IF(DAY(Mar_Dim1)=1,IF(AND(YEAR(Mar_Dim1+11)=Année_Calendaire,MONTH(Mar_Dim1+11)=3),Mar_Dim1+11,""),IF(AND(YEAR(Mar_Dim1+18)=Année_Calendaire,MONTH(Mar_Dim1+18)=3),Mar_Dim1+18,""))</f>
        <v>44273</v>
      </c>
      <c r="I25" s="1725"/>
      <c r="J25" s="1451">
        <f>IF(DAY(Mar_Dim1)=1,IF(AND(YEAR(Mar_Dim1+12)=Année_Calendaire,MONTH(Mar_Dim1+12)=3),Mar_Dim1+12,""),IF(AND(YEAR(Mar_Dim1+19)=Année_Calendaire,MONTH(Mar_Dim1+19)=3),Mar_Dim1+19,""))</f>
        <v>44274</v>
      </c>
      <c r="K25" s="1725"/>
      <c r="L25" s="1444">
        <f>IF(DAY(Mar_Dim1)=1,IF(AND(YEAR(Mar_Dim1+13)=Année_Calendaire,MONTH(Mar_Dim1+13)=3),Mar_Dim1+13,""),IF(AND(YEAR(Mar_Dim1+20)=Année_Calendaire,MONTH(Mar_Dim1+20)=3),Mar_Dim1+20,""))</f>
        <v>44275</v>
      </c>
      <c r="M25" s="1725"/>
      <c r="N25" s="1441">
        <f>IF(DAY(Mar_Dim1)=1,IF(AND(YEAR(Mar_Dim1+14)=Année_Calendaire,MONTH(Mar_Dim1+14)=3),Mar_Dim1+14,""),IF(AND(YEAR(Mar_Dim1+21)=Année_Calendaire,MONTH(Mar_Dim1+21)=3),Mar_Dim1+21,""))</f>
        <v>44276</v>
      </c>
      <c r="O25" s="1725"/>
      <c r="P25" s="1329">
        <f>C25+E25+G25+I25+K25+M25+O25</f>
        <v>0</v>
      </c>
      <c r="Q25" s="386"/>
      <c r="R25" s="386"/>
      <c r="S25" s="386"/>
      <c r="T25" s="386"/>
      <c r="U25" s="386"/>
      <c r="V25" s="386"/>
      <c r="W25" s="386"/>
      <c r="X25" s="386"/>
      <c r="Y25" s="386"/>
      <c r="Z25" s="386"/>
      <c r="AC25" s="1755">
        <f t="shared" si="1"/>
        <v>494</v>
      </c>
      <c r="AD25" s="1751">
        <f>DATE($Y$2+1,5,8)</f>
        <v>494</v>
      </c>
      <c r="AE25" s="1753" t="s">
        <v>728</v>
      </c>
      <c r="AF25" s="563"/>
      <c r="AG25" s="563"/>
      <c r="AH25" s="563"/>
    </row>
    <row r="26" spans="1:34" ht="15" customHeight="1" x14ac:dyDescent="0.25">
      <c r="A26" s="371"/>
      <c r="B26" s="1446">
        <f>IF(DAY(Mar_Dim1)=1,IF(AND(YEAR(Mar_Dim1+15)=Année_Calendaire,MONTH(Mar_Dim1+15)=3),Mar_Dim1+15,""),IF(AND(YEAR(Mar_Dim1+22)=Année_Calendaire,MONTH(Mar_Dim1+22)=3),Mar_Dim1+22,""))</f>
        <v>44277</v>
      </c>
      <c r="C26" s="1725"/>
      <c r="D26" s="1450">
        <f>IF(DAY(Mar_Dim1)=1,IF(AND(YEAR(Mar_Dim1+16)=Année_Calendaire,MONTH(Mar_Dim1+16)=3),Mar_Dim1+16,""),IF(AND(YEAR(Mar_Dim1+23)=Année_Calendaire,MONTH(Mar_Dim1+23)=3),Mar_Dim1+23,""))</f>
        <v>44278</v>
      </c>
      <c r="E26" s="1725"/>
      <c r="F26" s="1450">
        <f>IF(DAY(Mar_Dim1)=1,IF(AND(YEAR(Mar_Dim1+17)=Année_Calendaire,MONTH(Mar_Dim1+17)=3),Mar_Dim1+17,""),IF(AND(YEAR(Mar_Dim1+24)=Année_Calendaire,MONTH(Mar_Dim1+24)=3),Mar_Dim1+24,""))</f>
        <v>44279</v>
      </c>
      <c r="G26" s="1725"/>
      <c r="H26" s="1450">
        <f>IF(DAY(Mar_Dim1)=1,IF(AND(YEAR(Mar_Dim1+18)=Année_Calendaire,MONTH(Mar_Dim1+18)=3),Mar_Dim1+18,""),IF(AND(YEAR(Mar_Dim1+25)=Année_Calendaire,MONTH(Mar_Dim1+25)=3),Mar_Dim1+25,""))</f>
        <v>44280</v>
      </c>
      <c r="I26" s="1725"/>
      <c r="J26" s="1450">
        <f>IF(DAY(Mar_Dim1)=1,IF(AND(YEAR(Mar_Dim1+19)=Année_Calendaire,MONTH(Mar_Dim1+19)=3),Mar_Dim1+19,""),IF(AND(YEAR(Mar_Dim1+26)=Année_Calendaire,MONTH(Mar_Dim1+26)=3),Mar_Dim1+26,""))</f>
        <v>44281</v>
      </c>
      <c r="K26" s="1725"/>
      <c r="L26" s="1443">
        <f>IF(DAY(Mar_Dim1)=1,IF(AND(YEAR(Mar_Dim1+20)=Année_Calendaire,MONTH(Mar_Dim1+20)=3),Mar_Dim1+20,""),IF(AND(YEAR(Mar_Dim1+27)=Année_Calendaire,MONTH(Mar_Dim1+27)=3),Mar_Dim1+27,""))</f>
        <v>44282</v>
      </c>
      <c r="M26" s="1725"/>
      <c r="N26" s="1440">
        <f>IF(DAY(Mar_Dim1)=1,IF(AND(YEAR(Mar_Dim1+21)=Année_Calendaire,MONTH(Mar_Dim1+21)=3),Mar_Dim1+21,""),IF(AND(YEAR(Mar_Dim1+28)=Année_Calendaire,MONTH(Mar_Dim1+28)=3),Mar_Dim1+28,""))</f>
        <v>44283</v>
      </c>
      <c r="O26" s="1725"/>
      <c r="P26" s="1329">
        <f>C26+E26+G26+I26+K26+M26+O26</f>
        <v>0</v>
      </c>
      <c r="Q26" s="386"/>
      <c r="R26" s="386"/>
      <c r="S26" s="386"/>
      <c r="T26" s="386"/>
      <c r="U26" s="386"/>
      <c r="V26" s="386"/>
      <c r="W26" s="386"/>
      <c r="X26" s="386"/>
      <c r="Y26" s="386"/>
      <c r="Z26" s="386"/>
      <c r="AC26" s="1755">
        <f t="shared" si="1"/>
        <v>44707</v>
      </c>
      <c r="AD26" s="1751">
        <f>AD22+39</f>
        <v>44707</v>
      </c>
      <c r="AE26" s="1753" t="s">
        <v>729</v>
      </c>
      <c r="AF26" s="563"/>
      <c r="AG26" s="563"/>
      <c r="AH26" s="563"/>
    </row>
    <row r="27" spans="1:34" ht="15" customHeight="1" thickBot="1" x14ac:dyDescent="0.3">
      <c r="A27" s="371"/>
      <c r="B27" s="1447">
        <f>IF(DAY(Mar_Dim1)=1,IF(AND(YEAR(Mar_Dim1+22)=Année_Calendaire,MONTH(Mar_Dim1+22)=3),Mar_Dim1+22,""),IF(AND(YEAR(Mar_Dim1+29)=Année_Calendaire,MONTH(Mar_Dim1+29)=3),Mar_Dim1+29,""))</f>
        <v>44284</v>
      </c>
      <c r="C27" s="1725"/>
      <c r="D27" s="1451">
        <f>IF(DAY(Mar_Dim1)=1,IF(AND(YEAR(Mar_Dim1+23)=Année_Calendaire,MONTH(Mar_Dim1+23)=3),Mar_Dim1+23,""),IF(AND(YEAR(Mar_Dim1+30)=Année_Calendaire,MONTH(Mar_Dim1+30)=3),Mar_Dim1+30,""))</f>
        <v>44285</v>
      </c>
      <c r="E27" s="1725"/>
      <c r="F27" s="1451">
        <f>IF(DAY(Mar_Dim1)=1,IF(AND(YEAR(Mar_Dim1+24)=Année_Calendaire,MONTH(Mar_Dim1+24)=3),Mar_Dim1+24,""),IF(AND(YEAR(Mar_Dim1+31)=Année_Calendaire,MONTH(Mar_Dim1+31)=3),Mar_Dim1+31,""))</f>
        <v>44286</v>
      </c>
      <c r="G27" s="1726"/>
      <c r="H27" s="1451" t="str">
        <f>IF(DAY(Mar_Dim1)=1,IF(AND(YEAR(Mar_Dim1+25)=Année_Calendaire,MONTH(Mar_Dim1+25)=3),Mar_Dim1+25,""),IF(AND(YEAR(Mar_Dim1+32)=Année_Calendaire,MONTH(Mar_Dim1+32)=3),Mar_Dim1+32,""))</f>
        <v/>
      </c>
      <c r="I27" s="1726"/>
      <c r="J27" s="1451" t="str">
        <f>IF(DAY(Mar_Dim1)=1,IF(AND(YEAR(Mar_Dim1+26)=Année_Calendaire,MONTH(Mar_Dim1+26)=3),Mar_Dim1+26,""),IF(AND(YEAR(Mar_Dim1+33)=Année_Calendaire,MONTH(Mar_Dim1+33)=3),Mar_Dim1+33,""))</f>
        <v/>
      </c>
      <c r="K27" s="1726"/>
      <c r="L27" s="1444" t="str">
        <f>IF(DAY(Mar_Dim1)=1,IF(AND(YEAR(Mar_Dim1+27)=Année_Calendaire,MONTH(Mar_Dim1+27)=3),Mar_Dim1+27,""),IF(AND(YEAR(Mar_Dim1+34)=Année_Calendaire,MONTH(Mar_Dim1+34)=3),Mar_Dim1+34,""))</f>
        <v/>
      </c>
      <c r="M27" s="1726"/>
      <c r="N27" s="1441" t="str">
        <f>IF(DAY(Mar_Dim1)=1,IF(AND(YEAR(Mar_Dim1+28)=Année_Calendaire,MONTH(Mar_Dim1+28)=3),Mar_Dim1+28,""),IF(AND(YEAR(Mar_Dim1+35)=Année_Calendaire,MONTH(Mar_Dim1+35)=3),Mar_Dim1+35,""))</f>
        <v/>
      </c>
      <c r="O27" s="1726"/>
      <c r="P27" s="1329">
        <f>C27+E27+G27+I27+K27+M27+O27</f>
        <v>0</v>
      </c>
      <c r="Q27" s="386"/>
      <c r="R27" s="386"/>
      <c r="S27" s="386"/>
      <c r="T27" s="386"/>
      <c r="U27" s="386"/>
      <c r="V27" s="386"/>
      <c r="W27" s="386"/>
      <c r="X27" s="386"/>
      <c r="Y27" s="386"/>
      <c r="Z27" s="386"/>
      <c r="AC27" s="1755">
        <f t="shared" si="1"/>
        <v>44717</v>
      </c>
      <c r="AD27" s="1751">
        <f>AD22+49</f>
        <v>44717</v>
      </c>
      <c r="AE27" s="1753" t="s">
        <v>731</v>
      </c>
      <c r="AF27" s="563"/>
      <c r="AG27" s="563"/>
      <c r="AH27" s="563"/>
    </row>
    <row r="28" spans="1:34" ht="15" customHeight="1" thickTop="1" thickBot="1" x14ac:dyDescent="0.3">
      <c r="A28" s="371"/>
      <c r="B28" s="1448" t="str">
        <f>IF(DAY(Mar_Dim1)=1,IF(AND(YEAR(Mar_Dim1+29)=Année_Calendaire,MONTH(Mar_Dim1+29)=3),Mar_Dim1+29,""),IF(AND(YEAR(Mar_Dim1+36)=Année_Calendaire,MONTH(Mar_Dim1+36)=3),Mar_Dim1+36,""))</f>
        <v/>
      </c>
      <c r="C28" s="1726"/>
      <c r="D28" s="1452" t="str">
        <f>IF(DAY(Mar_Dim1)=1,IF(AND(YEAR(Mar_Dim1+30)=Année_Calendaire,MONTH(Mar_Dim1+30)=3),Mar_Dim1+30,""),IF(AND(YEAR(Mar_Dim1+37)=Année_Calendaire,MONTH(Mar_Dim1+37)=3),Mar_Dim1+37,""))</f>
        <v/>
      </c>
      <c r="E28" s="1726"/>
      <c r="F28" s="373"/>
      <c r="G28" s="374"/>
      <c r="H28" s="375" t="s">
        <v>749</v>
      </c>
      <c r="I28" s="1585">
        <f>SUM(B29:O29)</f>
        <v>0</v>
      </c>
      <c r="J28" s="1585"/>
      <c r="K28" s="375">
        <f>COUNTA(C23:C28,E23:E28,G23:G27,I23:I27,K23:K27,M23:M27,O23:O27)</f>
        <v>0</v>
      </c>
      <c r="L28" s="374" t="s">
        <v>750</v>
      </c>
      <c r="M28" s="374"/>
      <c r="N28" s="375" t="s">
        <v>751</v>
      </c>
      <c r="O28" s="376" t="e">
        <f>I28/K28</f>
        <v>#DIV/0!</v>
      </c>
      <c r="P28" s="1330">
        <f>C28+E28</f>
        <v>0</v>
      </c>
      <c r="Q28" s="386"/>
      <c r="R28" s="386"/>
      <c r="S28" s="386"/>
      <c r="T28" s="386"/>
      <c r="U28" s="386"/>
      <c r="V28" s="386"/>
      <c r="W28" s="386"/>
      <c r="X28" s="386"/>
      <c r="Y28" s="386"/>
      <c r="Z28" s="386"/>
      <c r="AC28" s="1755">
        <f t="shared" si="1"/>
        <v>44718</v>
      </c>
      <c r="AD28" s="1751">
        <f>AD27+1</f>
        <v>44718</v>
      </c>
      <c r="AE28" s="1753" t="s">
        <v>732</v>
      </c>
      <c r="AF28" s="563"/>
      <c r="AG28" s="563"/>
      <c r="AH28" s="563"/>
    </row>
    <row r="29" spans="1:34" ht="15" customHeight="1" thickTop="1" thickBot="1" x14ac:dyDescent="0.3">
      <c r="A29" s="371"/>
      <c r="B29" s="1331"/>
      <c r="C29" s="1332">
        <f>SUM(C23:C28)</f>
        <v>0</v>
      </c>
      <c r="D29" s="1333"/>
      <c r="E29" s="1334">
        <f>SUM(E23:E28)</f>
        <v>0</v>
      </c>
      <c r="F29" s="1333"/>
      <c r="G29" s="1334">
        <f>SUM(G23:G27)</f>
        <v>0</v>
      </c>
      <c r="H29" s="1333"/>
      <c r="I29" s="1334">
        <f>SUM(I23:I27)</f>
        <v>0</v>
      </c>
      <c r="J29" s="1333"/>
      <c r="K29" s="1334">
        <f>SUM(K23:K27)</f>
        <v>0</v>
      </c>
      <c r="L29" s="1333"/>
      <c r="M29" s="1334">
        <f>SUM(M23:M27)</f>
        <v>0</v>
      </c>
      <c r="N29" s="1333"/>
      <c r="O29" s="1334">
        <f>SUM(O23:O27)</f>
        <v>0</v>
      </c>
      <c r="P29" s="1335"/>
      <c r="Q29" s="386"/>
      <c r="R29" s="386"/>
      <c r="S29" s="386"/>
      <c r="T29" s="386"/>
      <c r="U29" s="386"/>
      <c r="V29" s="386"/>
      <c r="W29" s="386"/>
      <c r="X29" s="386"/>
      <c r="Y29" s="386"/>
      <c r="Z29" s="386"/>
      <c r="AC29" s="1755">
        <f t="shared" si="1"/>
        <v>44756</v>
      </c>
      <c r="AD29" s="1751">
        <f>DATE(AC4+1,7,14)</f>
        <v>44756</v>
      </c>
      <c r="AE29" s="1753" t="s">
        <v>733</v>
      </c>
      <c r="AF29" s="563"/>
      <c r="AG29" s="563"/>
      <c r="AH29" s="563"/>
    </row>
    <row r="30" spans="1:34" ht="30" customHeight="1" x14ac:dyDescent="0.25">
      <c r="A30" s="371"/>
      <c r="B30" s="1590">
        <f>D34</f>
        <v>44299</v>
      </c>
      <c r="C30" s="1591"/>
      <c r="D30" s="1591"/>
      <c r="E30" s="1591"/>
      <c r="F30" s="1591"/>
      <c r="G30" s="1591"/>
      <c r="H30" s="1591"/>
      <c r="I30" s="1591"/>
      <c r="J30" s="1591"/>
      <c r="K30" s="1591"/>
      <c r="L30" s="1591"/>
      <c r="M30" s="1591"/>
      <c r="N30" s="1591"/>
      <c r="O30" s="1591"/>
      <c r="P30" s="1592"/>
      <c r="Q30" s="386"/>
      <c r="R30" s="386"/>
      <c r="S30" s="386"/>
      <c r="T30" s="386"/>
      <c r="U30" s="386"/>
      <c r="V30" s="386"/>
      <c r="W30" s="386"/>
      <c r="X30" s="386"/>
      <c r="Y30" s="386"/>
      <c r="Z30" s="386"/>
      <c r="AC30" s="1755">
        <f t="shared" si="1"/>
        <v>44788</v>
      </c>
      <c r="AD30" s="1751">
        <f>DATE(AC4+1,8,15)</f>
        <v>44788</v>
      </c>
      <c r="AE30" s="1753" t="s">
        <v>586</v>
      </c>
      <c r="AF30" s="563"/>
      <c r="AG30" s="563"/>
      <c r="AH30" s="563"/>
    </row>
    <row r="31" spans="1:34" s="371" customFormat="1" ht="29.25" customHeight="1" x14ac:dyDescent="0.25">
      <c r="B31" s="1586" t="s">
        <v>752</v>
      </c>
      <c r="C31" s="1587"/>
      <c r="D31" s="1587" t="s">
        <v>753</v>
      </c>
      <c r="E31" s="1587"/>
      <c r="F31" s="1587" t="s">
        <v>754</v>
      </c>
      <c r="G31" s="1587"/>
      <c r="H31" s="1587" t="s">
        <v>755</v>
      </c>
      <c r="I31" s="1587"/>
      <c r="J31" s="1587" t="s">
        <v>756</v>
      </c>
      <c r="K31" s="1587"/>
      <c r="L31" s="1588" t="s">
        <v>757</v>
      </c>
      <c r="M31" s="1588"/>
      <c r="N31" s="1589" t="s">
        <v>758</v>
      </c>
      <c r="O31" s="1589"/>
      <c r="P31" s="1327" t="s">
        <v>759</v>
      </c>
      <c r="Q31" s="386"/>
      <c r="R31" s="387"/>
      <c r="S31" s="387"/>
      <c r="T31" s="387"/>
      <c r="U31" s="387"/>
      <c r="V31" s="387"/>
      <c r="W31" s="387"/>
      <c r="X31" s="387"/>
      <c r="Y31" s="387"/>
      <c r="Z31" s="387"/>
      <c r="AC31" s="1755">
        <f t="shared" si="1"/>
        <v>44866</v>
      </c>
      <c r="AD31" s="1751">
        <f>DATE(AC4+1,11,1)</f>
        <v>44866</v>
      </c>
      <c r="AE31" s="1753" t="s">
        <v>735</v>
      </c>
      <c r="AF31" s="563"/>
      <c r="AG31" s="563"/>
      <c r="AH31" s="563"/>
    </row>
    <row r="32" spans="1:34" s="371" customFormat="1" ht="15" customHeight="1" x14ac:dyDescent="0.25">
      <c r="B32" s="1445" t="str">
        <f>IF(DAY(Avr_Dim1)=1,"",IF(AND(YEAR(Avr_Dim1+1)=Année_Calendaire,MONTH(Avr_Dim1+1)=4),Avr_Dim1+1,""))</f>
        <v/>
      </c>
      <c r="C32" s="1724"/>
      <c r="D32" s="1449" t="str">
        <f>IF(DAY(Avr_Dim1)=1,"",IF(AND(YEAR(Avr_Dim1+2)=Année_Calendaire,MONTH(Avr_Dim1+2)=4),Avr_Dim1+2,""))</f>
        <v/>
      </c>
      <c r="E32" s="1724"/>
      <c r="F32" s="1449" t="str">
        <f>IF(DAY(Avr_Dim1)=1,"",IF(AND(YEAR(Avr_Dim1+3)=Année_Calendaire,MONTH(Avr_Dim1+3)=4),Avr_Dim1+3,""))</f>
        <v/>
      </c>
      <c r="G32" s="1724"/>
      <c r="H32" s="1449">
        <f>IF(DAY(Avr_Dim1)=1,"",IF(AND(YEAR(Avr_Dim1+4)=Année_Calendaire,MONTH(Avr_Dim1+4)=4),Avr_Dim1+4,""))</f>
        <v>44287</v>
      </c>
      <c r="I32" s="1724"/>
      <c r="J32" s="1449">
        <f>IF(DAY(Avr_Dim1)=1,"",IF(AND(YEAR(Avr_Dim1+5)=Année_Calendaire,MONTH(Avr_Dim1+5)=4),Avr_Dim1+5,""))</f>
        <v>44288</v>
      </c>
      <c r="K32" s="1724"/>
      <c r="L32" s="1442">
        <f>IF(DAY(Avr_Dim1)=1,"",IF(AND(YEAR(Avr_Dim1+6)=Année_Calendaire,MONTH(Avr_Dim1+6)=4),Avr_Dim1+6,""))</f>
        <v>44289</v>
      </c>
      <c r="M32" s="1724"/>
      <c r="N32" s="1439">
        <f>IF(DAY(Avr_Dim1)=1,IF(AND(YEAR(Avr_Dim1)=Année_Calendaire,MONTH(Avr_Dim1)=4),Avr_Dim1,""),IF(AND(YEAR(Avr_Dim1+7)=Année_Calendaire,MONTH(Avr_Dim1+7)=4),Avr_Dim1+7,""))</f>
        <v>44290</v>
      </c>
      <c r="O32" s="1724"/>
      <c r="P32" s="1328">
        <f>C32+E32+G32+I32+K32+M32+O32</f>
        <v>0</v>
      </c>
      <c r="Q32" s="387"/>
      <c r="R32" s="387"/>
      <c r="S32" s="387"/>
      <c r="T32" s="387"/>
      <c r="U32" s="387"/>
      <c r="V32" s="387"/>
      <c r="W32" s="387"/>
      <c r="X32" s="387"/>
      <c r="Y32" s="387"/>
      <c r="Z32" s="387"/>
      <c r="AC32" s="1755">
        <f t="shared" si="1"/>
        <v>44876</v>
      </c>
      <c r="AD32" s="1751">
        <f>DATE(AC4+1,11,11)</f>
        <v>44876</v>
      </c>
      <c r="AE32" s="1753" t="s">
        <v>587</v>
      </c>
      <c r="AF32" s="563"/>
      <c r="AG32" s="563"/>
      <c r="AH32" s="563"/>
    </row>
    <row r="33" spans="1:34" ht="15" customHeight="1" x14ac:dyDescent="0.25">
      <c r="A33" s="371"/>
      <c r="B33" s="1446">
        <f>IF(DAY(Avr_Dim1)=1,IF(AND(YEAR(Avr_Dim1+1)=Année_Calendaire,MONTH(Avr_Dim1+1)=4),Avr_Dim1+1,""),IF(AND(YEAR(Avr_Dim1+8)=Année_Calendaire,MONTH(Avr_Dim1+8)=4),Avr_Dim1+8,""))</f>
        <v>44291</v>
      </c>
      <c r="C33" s="1725"/>
      <c r="D33" s="1450">
        <f>IF(DAY(Avr_Dim1)=1,IF(AND(YEAR(Avr_Dim1+2)=Année_Calendaire,MONTH(Avr_Dim1+2)=4),Avr_Dim1+2,""),IF(AND(YEAR(Avr_Dim1+9)=Année_Calendaire,MONTH(Avr_Dim1+9)=4),Avr_Dim1+9,""))</f>
        <v>44292</v>
      </c>
      <c r="E33" s="1725"/>
      <c r="F33" s="1450">
        <f>IF(DAY(Avr_Dim1)=1,IF(AND(YEAR(Avr_Dim1+3)=Année_Calendaire,MONTH(Avr_Dim1+3)=4),Avr_Dim1+3,""),IF(AND(YEAR(Avr_Dim1+10)=Année_Calendaire,MONTH(Avr_Dim1+10)=4),Avr_Dim1+10,""))</f>
        <v>44293</v>
      </c>
      <c r="G33" s="1725"/>
      <c r="H33" s="1450">
        <f>IF(DAY(Avr_Dim1)=1,IF(AND(YEAR(Avr_Dim1+4)=Année_Calendaire,MONTH(Avr_Dim1+4)=4),Avr_Dim1+4,""),IF(AND(YEAR(Avr_Dim1+11)=Année_Calendaire,MONTH(Avr_Dim1+11)=4),Avr_Dim1+11,""))</f>
        <v>44294</v>
      </c>
      <c r="I33" s="1725"/>
      <c r="J33" s="1450">
        <f>IF(DAY(Avr_Dim1)=1,IF(AND(YEAR(Avr_Dim1+5)=Année_Calendaire,MONTH(Avr_Dim1+5)=4),Avr_Dim1+5,""),IF(AND(YEAR(Avr_Dim1+12)=Année_Calendaire,MONTH(Avr_Dim1+12)=4),Avr_Dim1+12,""))</f>
        <v>44295</v>
      </c>
      <c r="K33" s="1725"/>
      <c r="L33" s="1443">
        <f>IF(DAY(Avr_Dim1)=1,IF(AND(YEAR(Avr_Dim1+6)=Année_Calendaire,MONTH(Avr_Dim1+6)=4),Avr_Dim1+6,""),IF(AND(YEAR(Avr_Dim1+13)=Année_Calendaire,MONTH(Avr_Dim1+13)=4),Avr_Dim1+13,""))</f>
        <v>44296</v>
      </c>
      <c r="M33" s="1725"/>
      <c r="N33" s="1440">
        <f>IF(DAY(Avr_Dim1)=1,IF(AND(YEAR(Avr_Dim1+7)=Année_Calendaire,MONTH(Avr_Dim1+7)=4),Avr_Dim1+7,""),IF(AND(YEAR(Avr_Dim1+14)=Année_Calendaire,MONTH(Avr_Dim1+14)=4),Avr_Dim1+14,""))</f>
        <v>44297</v>
      </c>
      <c r="O33" s="1725"/>
      <c r="P33" s="1329">
        <f>C33+E33+G33+I33+K33+M33+O33</f>
        <v>0</v>
      </c>
      <c r="Q33" s="386"/>
      <c r="R33" s="386"/>
      <c r="S33" s="386"/>
      <c r="T33" s="386"/>
      <c r="U33" s="386"/>
      <c r="V33" s="386"/>
      <c r="W33" s="386"/>
      <c r="X33" s="386"/>
      <c r="Y33" s="386"/>
      <c r="Z33" s="386"/>
      <c r="AC33" s="1755">
        <f t="shared" si="1"/>
        <v>44920</v>
      </c>
      <c r="AD33" s="1751">
        <f>DATE(AC4+1,12,25)</f>
        <v>44920</v>
      </c>
      <c r="AE33" s="1753" t="s">
        <v>723</v>
      </c>
      <c r="AF33" s="563"/>
      <c r="AG33" s="563"/>
      <c r="AH33" s="563"/>
    </row>
    <row r="34" spans="1:34" ht="15" customHeight="1" x14ac:dyDescent="0.25">
      <c r="A34" s="371"/>
      <c r="B34" s="1447">
        <f>IF(DAY(Avr_Dim1)=1,IF(AND(YEAR(Avr_Dim1+8)=Année_Calendaire,MONTH(Avr_Dim1+8)=4),Avr_Dim1+8,""),IF(AND(YEAR(Avr_Dim1+15)=Année_Calendaire,MONTH(Avr_Dim1+15)=4),Avr_Dim1+15,""))</f>
        <v>44298</v>
      </c>
      <c r="C34" s="1725"/>
      <c r="D34" s="1451">
        <f>IF(DAY(Avr_Dim1)=1,IF(AND(YEAR(Avr_Dim1+9)=Année_Calendaire,MONTH(Avr_Dim1+9)=4),Avr_Dim1+9,""),IF(AND(YEAR(Avr_Dim1+16)=Année_Calendaire,MONTH(Avr_Dim1+16)=4),Avr_Dim1+16,""))</f>
        <v>44299</v>
      </c>
      <c r="E34" s="1725"/>
      <c r="F34" s="1451">
        <f>IF(DAY(Avr_Dim1)=1,IF(AND(YEAR(Avr_Dim1+10)=Année_Calendaire,MONTH(Avr_Dim1+10)=4),Avr_Dim1+10,""),IF(AND(YEAR(Avr_Dim1+17)=Année_Calendaire,MONTH(Avr_Dim1+17)=4),Avr_Dim1+17,""))</f>
        <v>44300</v>
      </c>
      <c r="G34" s="1725"/>
      <c r="H34" s="1451">
        <f>IF(DAY(Avr_Dim1)=1,IF(AND(YEAR(Avr_Dim1+11)=Année_Calendaire,MONTH(Avr_Dim1+11)=4),Avr_Dim1+11,""),IF(AND(YEAR(Avr_Dim1+18)=Année_Calendaire,MONTH(Avr_Dim1+18)=4),Avr_Dim1+18,""))</f>
        <v>44301</v>
      </c>
      <c r="I34" s="1725"/>
      <c r="J34" s="1451">
        <f>IF(DAY(Avr_Dim1)=1,IF(AND(YEAR(Avr_Dim1+12)=Année_Calendaire,MONTH(Avr_Dim1+12)=4),Avr_Dim1+12,""),IF(AND(YEAR(Avr_Dim1+19)=Année_Calendaire,MONTH(Avr_Dim1+19)=4),Avr_Dim1+19,""))</f>
        <v>44302</v>
      </c>
      <c r="K34" s="1725"/>
      <c r="L34" s="1444">
        <f>IF(DAY(Avr_Dim1)=1,IF(AND(YEAR(Avr_Dim1+13)=Année_Calendaire,MONTH(Avr_Dim1+13)=4),Avr_Dim1+13,""),IF(AND(YEAR(Avr_Dim1+20)=Année_Calendaire,MONTH(Avr_Dim1+20)=4),Avr_Dim1+20,""))</f>
        <v>44303</v>
      </c>
      <c r="M34" s="1725"/>
      <c r="N34" s="1441">
        <f>IF(DAY(Avr_Dim1)=1,IF(AND(YEAR(Avr_Dim1+14)=Année_Calendaire,MONTH(Avr_Dim1+14)=4),Avr_Dim1+14,""),IF(AND(YEAR(Avr_Dim1+21)=Année_Calendaire,MONTH(Avr_Dim1+21)=4),Avr_Dim1+21,""))</f>
        <v>44304</v>
      </c>
      <c r="O34" s="1725"/>
      <c r="P34" s="1329">
        <f>C34+E34+G34+I34+K34+M34+O34</f>
        <v>0</v>
      </c>
      <c r="Q34" s="386"/>
      <c r="R34" s="386"/>
      <c r="S34" s="386"/>
      <c r="T34" s="386"/>
      <c r="U34" s="386"/>
      <c r="V34" s="386"/>
      <c r="W34" s="386"/>
      <c r="X34" s="386"/>
      <c r="Y34" s="386"/>
      <c r="Z34" s="386"/>
      <c r="AC34" s="1756">
        <f>AD34</f>
        <v>44927</v>
      </c>
      <c r="AD34" s="1752">
        <f>DATE(AC4+2,1,1)</f>
        <v>44927</v>
      </c>
      <c r="AE34" s="1754" t="s">
        <v>721</v>
      </c>
      <c r="AF34" s="563"/>
      <c r="AG34" s="563"/>
      <c r="AH34" s="563"/>
    </row>
    <row r="35" spans="1:34" ht="15" customHeight="1" x14ac:dyDescent="0.25">
      <c r="A35" s="371"/>
      <c r="B35" s="1446">
        <f>IF(DAY(Avr_Dim1)=1,IF(AND(YEAR(Avr_Dim1+15)=Année_Calendaire,MONTH(Avr_Dim1+15)=4),Avr_Dim1+15,""),IF(AND(YEAR(Avr_Dim1+22)=Année_Calendaire,MONTH(Avr_Dim1+22)=4),Avr_Dim1+22,""))</f>
        <v>44305</v>
      </c>
      <c r="C35" s="1725"/>
      <c r="D35" s="1450">
        <f>IF(DAY(Avr_Dim1)=1,IF(AND(YEAR(Avr_Dim1+16)=Année_Calendaire,MONTH(Avr_Dim1+16)=4),Avr_Dim1+16,""),IF(AND(YEAR(Avr_Dim1+23)=Année_Calendaire,MONTH(Avr_Dim1+23)=4),Avr_Dim1+23,""))</f>
        <v>44306</v>
      </c>
      <c r="E35" s="1725"/>
      <c r="F35" s="1450">
        <f>IF(DAY(Avr_Dim1)=1,IF(AND(YEAR(Avr_Dim1+17)=Année_Calendaire,MONTH(Avr_Dim1+17)=4),Avr_Dim1+17,""),IF(AND(YEAR(Avr_Dim1+24)=Année_Calendaire,MONTH(Avr_Dim1+24)=4),Avr_Dim1+24,""))</f>
        <v>44307</v>
      </c>
      <c r="G35" s="1725"/>
      <c r="H35" s="1450">
        <f>IF(DAY(Avr_Dim1)=1,IF(AND(YEAR(Avr_Dim1+18)=Année_Calendaire,MONTH(Avr_Dim1+18)=4),Avr_Dim1+18,""),IF(AND(YEAR(Avr_Dim1+25)=Année_Calendaire,MONTH(Avr_Dim1+25)=4),Avr_Dim1+25,""))</f>
        <v>44308</v>
      </c>
      <c r="I35" s="1725"/>
      <c r="J35" s="1450">
        <f>IF(DAY(Avr_Dim1)=1,IF(AND(YEAR(Avr_Dim1+19)=Année_Calendaire,MONTH(Avr_Dim1+19)=4),Avr_Dim1+19,""),IF(AND(YEAR(Avr_Dim1+26)=Année_Calendaire,MONTH(Avr_Dim1+26)=4),Avr_Dim1+26,""))</f>
        <v>44309</v>
      </c>
      <c r="K35" s="1725"/>
      <c r="L35" s="1443">
        <f>IF(DAY(Avr_Dim1)=1,IF(AND(YEAR(Avr_Dim1+20)=Année_Calendaire,MONTH(Avr_Dim1+20)=4),Avr_Dim1+20,""),IF(AND(YEAR(Avr_Dim1+27)=Année_Calendaire,MONTH(Avr_Dim1+27)=4),Avr_Dim1+27,""))</f>
        <v>44310</v>
      </c>
      <c r="M35" s="1725"/>
      <c r="N35" s="1440">
        <f>IF(DAY(Avr_Dim1)=1,IF(AND(YEAR(Avr_Dim1+21)=Année_Calendaire,MONTH(Avr_Dim1+21)=4),Avr_Dim1+21,""),IF(AND(YEAR(Avr_Dim1+28)=Année_Calendaire,MONTH(Avr_Dim1+28)=4),Avr_Dim1+28,""))</f>
        <v>44311</v>
      </c>
      <c r="O35" s="1725"/>
      <c r="P35" s="1329">
        <f>C35+E35+G35+I35+K35+M35+O35</f>
        <v>0</v>
      </c>
      <c r="Q35" s="386"/>
      <c r="R35" s="386"/>
      <c r="S35" s="386"/>
      <c r="T35" s="386"/>
      <c r="U35" s="386"/>
      <c r="V35" s="386"/>
      <c r="W35" s="386"/>
      <c r="X35" s="386"/>
      <c r="Y35" s="386"/>
      <c r="Z35" s="386"/>
    </row>
    <row r="36" spans="1:34" ht="15" customHeight="1" thickBot="1" x14ac:dyDescent="0.3">
      <c r="A36" s="371"/>
      <c r="B36" s="1447">
        <f>IF(DAY(Avr_Dim1)=1,IF(AND(YEAR(Avr_Dim1+22)=Année_Calendaire,MONTH(Avr_Dim1+22)=4),Avr_Dim1+22,""),IF(AND(YEAR(Avr_Dim1+29)=Année_Calendaire,MONTH(Avr_Dim1+29)=4),Avr_Dim1+29,""))</f>
        <v>44312</v>
      </c>
      <c r="C36" s="1725"/>
      <c r="D36" s="1451">
        <f>IF(DAY(Avr_Dim1)=1,IF(AND(YEAR(Avr_Dim1+23)=Année_Calendaire,MONTH(Avr_Dim1+23)=4),Avr_Dim1+23,""),IF(AND(YEAR(Avr_Dim1+30)=Année_Calendaire,MONTH(Avr_Dim1+30)=4),Avr_Dim1+30,""))</f>
        <v>44313</v>
      </c>
      <c r="E36" s="1725"/>
      <c r="F36" s="1451">
        <f>IF(DAY(Avr_Dim1)=1,IF(AND(YEAR(Avr_Dim1+24)=Année_Calendaire,MONTH(Avr_Dim1+24)=4),Avr_Dim1+24,""),IF(AND(YEAR(Avr_Dim1+31)=Année_Calendaire,MONTH(Avr_Dim1+31)=4),Avr_Dim1+31,""))</f>
        <v>44314</v>
      </c>
      <c r="G36" s="1726"/>
      <c r="H36" s="1451">
        <f>IF(DAY(Avr_Dim1)=1,IF(AND(YEAR(Avr_Dim1+25)=Année_Calendaire,MONTH(Avr_Dim1+25)=4),Avr_Dim1+25,""),IF(AND(YEAR(Avr_Dim1+32)=Année_Calendaire,MONTH(Avr_Dim1+32)=4),Avr_Dim1+32,""))</f>
        <v>44315</v>
      </c>
      <c r="I36" s="1726"/>
      <c r="J36" s="1451">
        <f>IF(DAY(Avr_Dim1)=1,IF(AND(YEAR(Avr_Dim1+26)=Année_Calendaire,MONTH(Avr_Dim1+26)=4),Avr_Dim1+26,""),IF(AND(YEAR(Avr_Dim1+33)=Année_Calendaire,MONTH(Avr_Dim1+33)=4),Avr_Dim1+33,""))</f>
        <v>44316</v>
      </c>
      <c r="K36" s="1726"/>
      <c r="L36" s="1444" t="str">
        <f>IF(DAY(Avr_Dim1)=1,IF(AND(YEAR(Avr_Dim1+27)=Année_Calendaire,MONTH(Avr_Dim1+27)=4),Avr_Dim1+27,""),IF(AND(YEAR(Avr_Dim1+34)=Année_Calendaire,MONTH(Avr_Dim1+34)=4),Avr_Dim1+34,""))</f>
        <v/>
      </c>
      <c r="M36" s="1726"/>
      <c r="N36" s="1441" t="str">
        <f>IF(DAY(Avr_Dim1)=1,IF(AND(YEAR(Avr_Dim1+28)=Année_Calendaire,MONTH(Avr_Dim1+28)=4),Avr_Dim1+28,""),IF(AND(YEAR(Avr_Dim1+35)=Année_Calendaire,MONTH(Avr_Dim1+35)=4),Avr_Dim1+35,""))</f>
        <v/>
      </c>
      <c r="O36" s="1726"/>
      <c r="P36" s="1329">
        <f>C36+E36+G36+I36+K36+M36+O36</f>
        <v>0</v>
      </c>
      <c r="Q36" s="386"/>
      <c r="R36" s="386"/>
      <c r="S36" s="386"/>
      <c r="T36" s="386"/>
      <c r="U36" s="386"/>
      <c r="V36" s="386"/>
      <c r="W36" s="386"/>
      <c r="X36" s="386"/>
      <c r="Y36" s="386"/>
      <c r="Z36" s="386"/>
    </row>
    <row r="37" spans="1:34" ht="15" customHeight="1" thickTop="1" thickBot="1" x14ac:dyDescent="0.3">
      <c r="A37" s="371"/>
      <c r="B37" s="1448" t="str">
        <f>IF(DAY(Avr_Dim1)=1,IF(AND(YEAR(Avr_Dim1+29)=Année_Calendaire,MONTH(Avr_Dim1+29)=4),Avr_Dim1+29,""),IF(AND(YEAR(Avr_Dim1+36)=Année_Calendaire,MONTH(Avr_Dim1+36)=4),Avr_Dim1+36,""))</f>
        <v/>
      </c>
      <c r="C37" s="1726"/>
      <c r="D37" s="1452" t="str">
        <f>IF(DAY(Avr_Dim1)=1,IF(AND(YEAR(Avr_Dim1+30)=Année_Calendaire,MONTH(Avr_Dim1+30)=4),Avr_Dim1+30,""),IF(AND(YEAR(Avr_Dim1+37)=Année_Calendaire,MONTH(Avr_Dim1+37)=4),Avr_Dim1+37,""))</f>
        <v/>
      </c>
      <c r="E37" s="1726"/>
      <c r="F37" s="373"/>
      <c r="G37" s="374"/>
      <c r="H37" s="375" t="s">
        <v>749</v>
      </c>
      <c r="I37" s="1585">
        <f>SUM(B38:O38)</f>
        <v>0</v>
      </c>
      <c r="J37" s="1585"/>
      <c r="K37" s="375">
        <f>COUNTA(C32:C37,E32:E37,G32:G36,I32:I36,K32:K36,M32:M36,O32:O36)</f>
        <v>0</v>
      </c>
      <c r="L37" s="374" t="s">
        <v>750</v>
      </c>
      <c r="M37" s="374"/>
      <c r="N37" s="375" t="s">
        <v>751</v>
      </c>
      <c r="O37" s="376" t="e">
        <f>I37/K37</f>
        <v>#DIV/0!</v>
      </c>
      <c r="P37" s="1330">
        <f>C37+E37</f>
        <v>0</v>
      </c>
      <c r="Q37" s="386"/>
      <c r="R37" s="386"/>
      <c r="S37" s="386"/>
      <c r="T37" s="386"/>
      <c r="U37" s="386"/>
      <c r="V37" s="386"/>
      <c r="W37" s="386"/>
      <c r="X37" s="386"/>
      <c r="Y37" s="386"/>
      <c r="Z37" s="386"/>
    </row>
    <row r="38" spans="1:34" ht="15" customHeight="1" thickTop="1" thickBot="1" x14ac:dyDescent="0.3">
      <c r="A38" s="371"/>
      <c r="B38" s="1331"/>
      <c r="C38" s="1332">
        <f>SUM(C32:C37)</f>
        <v>0</v>
      </c>
      <c r="D38" s="1333"/>
      <c r="E38" s="1334">
        <f>SUM(E32:E37)</f>
        <v>0</v>
      </c>
      <c r="F38" s="1333"/>
      <c r="G38" s="1334">
        <f>SUM(G32:G36)</f>
        <v>0</v>
      </c>
      <c r="H38" s="1333"/>
      <c r="I38" s="1334">
        <f>SUM(I32:I36)</f>
        <v>0</v>
      </c>
      <c r="J38" s="1333"/>
      <c r="K38" s="1334">
        <f>SUM(K32:K36)</f>
        <v>0</v>
      </c>
      <c r="L38" s="1333"/>
      <c r="M38" s="1334">
        <f>SUM(M32:M36)</f>
        <v>0</v>
      </c>
      <c r="N38" s="1333"/>
      <c r="O38" s="1334">
        <f>SUM(O32:O36)</f>
        <v>0</v>
      </c>
      <c r="P38" s="1335"/>
      <c r="Q38" s="386"/>
      <c r="R38" s="386"/>
      <c r="S38" s="386"/>
      <c r="T38" s="386"/>
      <c r="U38" s="386"/>
      <c r="V38" s="386"/>
      <c r="W38" s="386"/>
      <c r="X38" s="386"/>
      <c r="Y38" s="386"/>
      <c r="Z38" s="386"/>
    </row>
    <row r="39" spans="1:34" ht="30" customHeight="1" x14ac:dyDescent="0.25">
      <c r="A39" s="371"/>
      <c r="B39" s="1590">
        <f>D43</f>
        <v>44327</v>
      </c>
      <c r="C39" s="1591"/>
      <c r="D39" s="1591"/>
      <c r="E39" s="1591"/>
      <c r="F39" s="1591"/>
      <c r="G39" s="1591"/>
      <c r="H39" s="1591"/>
      <c r="I39" s="1591"/>
      <c r="J39" s="1591"/>
      <c r="K39" s="1591"/>
      <c r="L39" s="1591"/>
      <c r="M39" s="1591"/>
      <c r="N39" s="1591"/>
      <c r="O39" s="1591"/>
      <c r="P39" s="1592"/>
      <c r="Q39" s="386"/>
      <c r="R39" s="386"/>
      <c r="S39" s="386"/>
      <c r="T39" s="386"/>
      <c r="U39" s="386"/>
      <c r="V39" s="386"/>
      <c r="W39" s="386"/>
      <c r="X39" s="386"/>
      <c r="Y39" s="386"/>
      <c r="Z39" s="386"/>
    </row>
    <row r="40" spans="1:34" s="377" customFormat="1" ht="29.25" customHeight="1" x14ac:dyDescent="0.25">
      <c r="B40" s="1586" t="s">
        <v>752</v>
      </c>
      <c r="C40" s="1587"/>
      <c r="D40" s="1587" t="s">
        <v>753</v>
      </c>
      <c r="E40" s="1587"/>
      <c r="F40" s="1587" t="s">
        <v>754</v>
      </c>
      <c r="G40" s="1587"/>
      <c r="H40" s="1587" t="s">
        <v>755</v>
      </c>
      <c r="I40" s="1587"/>
      <c r="J40" s="1587" t="s">
        <v>756</v>
      </c>
      <c r="K40" s="1587"/>
      <c r="L40" s="1588" t="s">
        <v>757</v>
      </c>
      <c r="M40" s="1588"/>
      <c r="N40" s="1589" t="s">
        <v>758</v>
      </c>
      <c r="O40" s="1589"/>
      <c r="P40" s="1327" t="s">
        <v>759</v>
      </c>
      <c r="Q40" s="389"/>
      <c r="R40" s="388"/>
      <c r="S40" s="388"/>
      <c r="T40" s="388"/>
      <c r="U40" s="388"/>
      <c r="V40" s="388"/>
      <c r="W40" s="388"/>
      <c r="X40" s="388"/>
      <c r="Y40" s="388"/>
      <c r="Z40" s="388"/>
      <c r="AC40"/>
      <c r="AD40"/>
      <c r="AE40"/>
      <c r="AF40"/>
      <c r="AG40"/>
      <c r="AH40"/>
    </row>
    <row r="41" spans="1:34" s="377" customFormat="1" ht="15" customHeight="1" x14ac:dyDescent="0.25">
      <c r="B41" s="1445" t="str">
        <f>IF(DAY(Mai_Dim1)=1,"",IF(AND(YEAR(Mai_Dim1+1)=Année_Calendaire,MONTH(Mai_Dim1+1)=5),Mai_Dim1+1,""))</f>
        <v/>
      </c>
      <c r="C41" s="1724"/>
      <c r="D41" s="1449" t="str">
        <f>IF(DAY(Mai_Dim1)=1,"",IF(AND(YEAR(Mai_Dim1+2)=Année_Calendaire,MONTH(Mai_Dim1+2)=5),Mai_Dim1+2,""))</f>
        <v/>
      </c>
      <c r="E41" s="1724"/>
      <c r="F41" s="1449" t="str">
        <f>IF(DAY(Mai_Dim1)=1,"",IF(AND(YEAR(Mai_Dim1+3)=Année_Calendaire,MONTH(Mai_Dim1+3)=5),Mai_Dim1+3,""))</f>
        <v/>
      </c>
      <c r="G41" s="1724"/>
      <c r="H41" s="1449" t="str">
        <f>IF(DAY(Mai_Dim1)=1,"",IF(AND(YEAR(Mai_Dim1+4)=Année_Calendaire,MONTH(Mai_Dim1+4)=5),Mai_Dim1+4,""))</f>
        <v/>
      </c>
      <c r="I41" s="1724"/>
      <c r="J41" s="1449" t="str">
        <f>IF(DAY(Mai_Dim1)=1,"",IF(AND(YEAR(Mai_Dim1+5)=Année_Calendaire,MONTH(Mai_Dim1+5)=5),Mai_Dim1+5,""))</f>
        <v/>
      </c>
      <c r="K41" s="1724"/>
      <c r="L41" s="1442">
        <f>IF(DAY(Mai_Dim1)=1,"",IF(AND(YEAR(Mai_Dim1+6)=Année_Calendaire,MONTH(Mai_Dim1+6)=5),Mai_Dim1+6,""))</f>
        <v>44317</v>
      </c>
      <c r="M41" s="1724"/>
      <c r="N41" s="1439">
        <f>IF(DAY(Mai_Dim1)=1,IF(AND(YEAR(Mai_Dim1)=Année_Calendaire,MONTH(Mai_Dim1)=5),Mai_Dim1,""),IF(AND(YEAR(Mai_Dim1+7)=Année_Calendaire,MONTH(Mai_Dim1+7)=5),Mai_Dim1+7,""))</f>
        <v>44318</v>
      </c>
      <c r="O41" s="1724"/>
      <c r="P41" s="1328">
        <f>C41+E41+G41+I41+K41+M41+O41</f>
        <v>0</v>
      </c>
      <c r="Q41" s="388"/>
      <c r="R41" s="388"/>
      <c r="S41" s="388"/>
      <c r="T41" s="388"/>
      <c r="U41" s="388"/>
      <c r="V41" s="388"/>
      <c r="W41" s="388"/>
      <c r="X41" s="388"/>
      <c r="Y41" s="388"/>
      <c r="Z41" s="388"/>
      <c r="AC41"/>
      <c r="AD41"/>
      <c r="AE41"/>
      <c r="AF41"/>
      <c r="AG41"/>
      <c r="AH41"/>
    </row>
    <row r="42" spans="1:34" s="357" customFormat="1" ht="15" customHeight="1" x14ac:dyDescent="0.25">
      <c r="A42" s="377"/>
      <c r="B42" s="1446">
        <f>IF(DAY(Mai_Dim1)=1,IF(AND(YEAR(Mai_Dim1+1)=Année_Calendaire,MONTH(Mai_Dim1+1)=5),Mai_Dim1+1,""),IF(AND(YEAR(Mai_Dim1+8)=Année_Calendaire,MONTH(Mai_Dim1+8)=5),Mai_Dim1+8,""))</f>
        <v>44319</v>
      </c>
      <c r="C42" s="1725"/>
      <c r="D42" s="1450">
        <f>IF(DAY(Mai_Dim1)=1,IF(AND(YEAR(Mai_Dim1+2)=Année_Calendaire,MONTH(Mai_Dim1+2)=5),Mai_Dim1+2,""),IF(AND(YEAR(Mai_Dim1+9)=Année_Calendaire,MONTH(Mai_Dim1+9)=5),Mai_Dim1+9,""))</f>
        <v>44320</v>
      </c>
      <c r="E42" s="1725"/>
      <c r="F42" s="1450">
        <f>IF(DAY(Mai_Dim1)=1,IF(AND(YEAR(Mai_Dim1+3)=Année_Calendaire,MONTH(Mai_Dim1+3)=5),Mai_Dim1+3,""),IF(AND(YEAR(Mai_Dim1+10)=Année_Calendaire,MONTH(Mai_Dim1+10)=5),Mai_Dim1+10,""))</f>
        <v>44321</v>
      </c>
      <c r="G42" s="1725"/>
      <c r="H42" s="1450">
        <f>IF(DAY(Mai_Dim1)=1,IF(AND(YEAR(Mai_Dim1+4)=Année_Calendaire,MONTH(Mai_Dim1+4)=5),Mai_Dim1+4,""),IF(AND(YEAR(Mai_Dim1+11)=Année_Calendaire,MONTH(Mai_Dim1+11)=5),Mai_Dim1+11,""))</f>
        <v>44322</v>
      </c>
      <c r="I42" s="1725"/>
      <c r="J42" s="1450">
        <f>IF(DAY(Mai_Dim1)=1,IF(AND(YEAR(Mai_Dim1+5)=Année_Calendaire,MONTH(Mai_Dim1+5)=5),Mai_Dim1+5,""),IF(AND(YEAR(Mai_Dim1+12)=Année_Calendaire,MONTH(Mai_Dim1+12)=5),Mai_Dim1+12,""))</f>
        <v>44323</v>
      </c>
      <c r="K42" s="1725"/>
      <c r="L42" s="1443">
        <f>IF(DAY(Mai_Dim1)=1,IF(AND(YEAR(Mai_Dim1+6)=Année_Calendaire,MONTH(Mai_Dim1+6)=5),Mai_Dim1+6,""),IF(AND(YEAR(Mai_Dim1+13)=Année_Calendaire,MONTH(Mai_Dim1+13)=5),Mai_Dim1+13,""))</f>
        <v>44324</v>
      </c>
      <c r="M42" s="1725"/>
      <c r="N42" s="1440">
        <f>IF(DAY(Mai_Dim1)=1,IF(AND(YEAR(Mai_Dim1+7)=Année_Calendaire,MONTH(Mai_Dim1+7)=5),Mai_Dim1+7,""),IF(AND(YEAR(Mai_Dim1+14)=Année_Calendaire,MONTH(Mai_Dim1+14)=5),Mai_Dim1+14,""))</f>
        <v>44325</v>
      </c>
      <c r="O42" s="1725"/>
      <c r="P42" s="1329">
        <f>C42+E42+G42+I42+K42+M42+O42</f>
        <v>0</v>
      </c>
      <c r="Q42" s="389"/>
      <c r="R42" s="389"/>
      <c r="S42" s="389"/>
      <c r="T42" s="389"/>
      <c r="U42" s="389"/>
      <c r="V42" s="389"/>
      <c r="W42" s="389"/>
      <c r="X42" s="389"/>
      <c r="Y42" s="389"/>
      <c r="Z42" s="389"/>
      <c r="AC42"/>
      <c r="AD42"/>
      <c r="AE42"/>
      <c r="AF42"/>
      <c r="AG42"/>
      <c r="AH42"/>
    </row>
    <row r="43" spans="1:34" s="357" customFormat="1" ht="15" customHeight="1" x14ac:dyDescent="0.25">
      <c r="A43" s="377"/>
      <c r="B43" s="1447">
        <f>IF(DAY(Mai_Dim1)=1,IF(AND(YEAR(Mai_Dim1+8)=Année_Calendaire,MONTH(Mai_Dim1+8)=5),Mai_Dim1+8,""),IF(AND(YEAR(Mai_Dim1+15)=Année_Calendaire,MONTH(Mai_Dim1+15)=5),Mai_Dim1+15,""))</f>
        <v>44326</v>
      </c>
      <c r="C43" s="1725"/>
      <c r="D43" s="1451">
        <f>IF(DAY(Mai_Dim1)=1,IF(AND(YEAR(Mai_Dim1+9)=Année_Calendaire,MONTH(Mai_Dim1+9)=5),Mai_Dim1+9,""),IF(AND(YEAR(Mai_Dim1+16)=Année_Calendaire,MONTH(Mai_Dim1+16)=5),Mai_Dim1+16,""))</f>
        <v>44327</v>
      </c>
      <c r="E43" s="1725"/>
      <c r="F43" s="1451">
        <f>IF(DAY(Mai_Dim1)=1,IF(AND(YEAR(Mai_Dim1+10)=Année_Calendaire,MONTH(Mai_Dim1+10)=5),Mai_Dim1+10,""),IF(AND(YEAR(Mai_Dim1+17)=Année_Calendaire,MONTH(Mai_Dim1+17)=5),Mai_Dim1+17,""))</f>
        <v>44328</v>
      </c>
      <c r="G43" s="1725"/>
      <c r="H43" s="1451">
        <f>IF(DAY(Mai_Dim1)=1,IF(AND(YEAR(Mai_Dim1+11)=Année_Calendaire,MONTH(Mai_Dim1+11)=5),Mai_Dim1+11,""),IF(AND(YEAR(Mai_Dim1+18)=Année_Calendaire,MONTH(Mai_Dim1+18)=5),Mai_Dim1+18,""))</f>
        <v>44329</v>
      </c>
      <c r="I43" s="1725"/>
      <c r="J43" s="1451">
        <f>IF(DAY(Mai_Dim1)=1,IF(AND(YEAR(Mai_Dim1+12)=Année_Calendaire,MONTH(Mai_Dim1+12)=5),Mai_Dim1+12,""),IF(AND(YEAR(Mai_Dim1+19)=Année_Calendaire,MONTH(Mai_Dim1+19)=5),Mai_Dim1+19,""))</f>
        <v>44330</v>
      </c>
      <c r="K43" s="1725"/>
      <c r="L43" s="1444">
        <f>IF(DAY(Mai_Dim1)=1,IF(AND(YEAR(Mai_Dim1+13)=Année_Calendaire,MONTH(Mai_Dim1+13)=5),Mai_Dim1+13,""),IF(AND(YEAR(Mai_Dim1+20)=Année_Calendaire,MONTH(Mai_Dim1+20)=5),Mai_Dim1+20,""))</f>
        <v>44331</v>
      </c>
      <c r="M43" s="1725"/>
      <c r="N43" s="1441">
        <f>IF(DAY(Mai_Dim1)=1,IF(AND(YEAR(Mai_Dim1+14)=Année_Calendaire,MONTH(Mai_Dim1+14)=5),Mai_Dim1+14,""),IF(AND(YEAR(Mai_Dim1+21)=Année_Calendaire,MONTH(Mai_Dim1+21)=5),Mai_Dim1+21,""))</f>
        <v>44332</v>
      </c>
      <c r="O43" s="1725"/>
      <c r="P43" s="1329">
        <f>C43+E43+G43+I43+K43+M43+O43</f>
        <v>0</v>
      </c>
      <c r="Q43" s="389"/>
      <c r="R43" s="389"/>
      <c r="S43" s="389"/>
      <c r="T43" s="389"/>
      <c r="U43" s="389"/>
      <c r="V43" s="389"/>
      <c r="W43" s="389"/>
      <c r="X43" s="389"/>
      <c r="Y43" s="389"/>
      <c r="Z43" s="389"/>
      <c r="AC43"/>
      <c r="AD43"/>
      <c r="AE43"/>
      <c r="AF43"/>
      <c r="AG43"/>
      <c r="AH43"/>
    </row>
    <row r="44" spans="1:34" s="357" customFormat="1" ht="15" customHeight="1" x14ac:dyDescent="0.25">
      <c r="A44" s="377"/>
      <c r="B44" s="1446">
        <f>IF(DAY(Mai_Dim1)=1,IF(AND(YEAR(Mai_Dim1+15)=Année_Calendaire,MONTH(Mai_Dim1+15)=5),Mai_Dim1+15,""),IF(AND(YEAR(Mai_Dim1+22)=Année_Calendaire,MONTH(Mai_Dim1+22)=5),Mai_Dim1+22,""))</f>
        <v>44333</v>
      </c>
      <c r="C44" s="1725"/>
      <c r="D44" s="1450">
        <f>IF(DAY(Mai_Dim1)=1,IF(AND(YEAR(Mai_Dim1+16)=Année_Calendaire,MONTH(Mai_Dim1+16)=5),Mai_Dim1+16,""),IF(AND(YEAR(Mai_Dim1+23)=Année_Calendaire,MONTH(Mai_Dim1+23)=5),Mai_Dim1+23,""))</f>
        <v>44334</v>
      </c>
      <c r="E44" s="1725"/>
      <c r="F44" s="1450">
        <f>IF(DAY(Mai_Dim1)=1,IF(AND(YEAR(Mai_Dim1+17)=Année_Calendaire,MONTH(Mai_Dim1+17)=5),Mai_Dim1+17,""),IF(AND(YEAR(Mai_Dim1+24)=Année_Calendaire,MONTH(Mai_Dim1+24)=5),Mai_Dim1+24,""))</f>
        <v>44335</v>
      </c>
      <c r="G44" s="1725"/>
      <c r="H44" s="1450">
        <f>IF(DAY(Mai_Dim1)=1,IF(AND(YEAR(Mai_Dim1+18)=Année_Calendaire,MONTH(Mai_Dim1+18)=5),Mai_Dim1+18,""),IF(AND(YEAR(Mai_Dim1+25)=Année_Calendaire,MONTH(Mai_Dim1+25)=5),Mai_Dim1+25,""))</f>
        <v>44336</v>
      </c>
      <c r="I44" s="1725"/>
      <c r="J44" s="1450">
        <f>IF(DAY(Mai_Dim1)=1,IF(AND(YEAR(Mai_Dim1+19)=Année_Calendaire,MONTH(Mai_Dim1+19)=5),Mai_Dim1+19,""),IF(AND(YEAR(Mai_Dim1+26)=Année_Calendaire,MONTH(Mai_Dim1+26)=5),Mai_Dim1+26,""))</f>
        <v>44337</v>
      </c>
      <c r="K44" s="1725"/>
      <c r="L44" s="1443">
        <f>IF(DAY(Mai_Dim1)=1,IF(AND(YEAR(Mai_Dim1+20)=Année_Calendaire,MONTH(Mai_Dim1+20)=5),Mai_Dim1+20,""),IF(AND(YEAR(Mai_Dim1+27)=Année_Calendaire,MONTH(Mai_Dim1+27)=5),Mai_Dim1+27,""))</f>
        <v>44338</v>
      </c>
      <c r="M44" s="1725"/>
      <c r="N44" s="1440">
        <f>IF(DAY(Mai_Dim1)=1,IF(AND(YEAR(Mai_Dim1+21)=Année_Calendaire,MONTH(Mai_Dim1+21)=5),Mai_Dim1+21,""),IF(AND(YEAR(Mai_Dim1+28)=Année_Calendaire,MONTH(Mai_Dim1+28)=5),Mai_Dim1+28,""))</f>
        <v>44339</v>
      </c>
      <c r="O44" s="1725"/>
      <c r="P44" s="1329">
        <f>C44+E44+G44+I44+K44+M44+O44</f>
        <v>0</v>
      </c>
      <c r="Q44" s="389"/>
      <c r="R44" s="389"/>
      <c r="S44" s="389"/>
      <c r="T44" s="389"/>
      <c r="U44" s="389"/>
      <c r="V44" s="389"/>
      <c r="W44" s="389"/>
      <c r="X44" s="389"/>
      <c r="Y44" s="389"/>
      <c r="Z44" s="389"/>
      <c r="AC44"/>
      <c r="AD44"/>
      <c r="AE44"/>
      <c r="AF44"/>
      <c r="AG44"/>
      <c r="AH44"/>
    </row>
    <row r="45" spans="1:34" s="357" customFormat="1" ht="15" customHeight="1" thickBot="1" x14ac:dyDescent="0.3">
      <c r="A45" s="377"/>
      <c r="B45" s="1447">
        <f>IF(DAY(Mai_Dim1)=1,IF(AND(YEAR(Mai_Dim1+22)=Année_Calendaire,MONTH(Mai_Dim1+22)=5),Mai_Dim1+22,""),IF(AND(YEAR(Mai_Dim1+29)=Année_Calendaire,MONTH(Mai_Dim1+29)=5),Mai_Dim1+29,""))</f>
        <v>44340</v>
      </c>
      <c r="C45" s="1725"/>
      <c r="D45" s="1451">
        <f>IF(DAY(Mai_Dim1)=1,IF(AND(YEAR(Mai_Dim1+23)=Année_Calendaire,MONTH(Mai_Dim1+23)=5),Mai_Dim1+23,""),IF(AND(YEAR(Mai_Dim1+30)=Année_Calendaire,MONTH(Mai_Dim1+30)=5),Mai_Dim1+30,""))</f>
        <v>44341</v>
      </c>
      <c r="E45" s="1725"/>
      <c r="F45" s="1451">
        <f>IF(DAY(Mai_Dim1)=1,IF(AND(YEAR(Mai_Dim1+24)=Année_Calendaire,MONTH(Mai_Dim1+24)=5),Mai_Dim1+24,""),IF(AND(YEAR(Mai_Dim1+31)=Année_Calendaire,MONTH(Mai_Dim1+31)=5),Mai_Dim1+31,""))</f>
        <v>44342</v>
      </c>
      <c r="G45" s="1726"/>
      <c r="H45" s="1451">
        <f>IF(DAY(Mai_Dim1)=1,IF(AND(YEAR(Mai_Dim1+25)=Année_Calendaire,MONTH(Mai_Dim1+25)=5),Mai_Dim1+25,""),IF(AND(YEAR(Mai_Dim1+32)=Année_Calendaire,MONTH(Mai_Dim1+32)=5),Mai_Dim1+32,""))</f>
        <v>44343</v>
      </c>
      <c r="I45" s="1726"/>
      <c r="J45" s="1451">
        <f>IF(DAY(Mai_Dim1)=1,IF(AND(YEAR(Mai_Dim1+26)=Année_Calendaire,MONTH(Mai_Dim1+26)=5),Mai_Dim1+26,""),IF(AND(YEAR(Mai_Dim1+33)=Année_Calendaire,MONTH(Mai_Dim1+33)=5),Mai_Dim1+33,""))</f>
        <v>44344</v>
      </c>
      <c r="K45" s="1726"/>
      <c r="L45" s="1444">
        <f>IF(DAY(Mai_Dim1)=1,IF(AND(YEAR(Mai_Dim1+27)=Année_Calendaire,MONTH(Mai_Dim1+27)=5),Mai_Dim1+27,""),IF(AND(YEAR(Mai_Dim1+34)=Année_Calendaire,MONTH(Mai_Dim1+34)=5),Mai_Dim1+34,""))</f>
        <v>44345</v>
      </c>
      <c r="M45" s="1726"/>
      <c r="N45" s="1441">
        <f>IF(DAY(Mai_Dim1)=1,IF(AND(YEAR(Mai_Dim1+28)=Année_Calendaire,MONTH(Mai_Dim1+28)=5),Mai_Dim1+28,""),IF(AND(YEAR(Mai_Dim1+35)=Année_Calendaire,MONTH(Mai_Dim1+35)=5),Mai_Dim1+35,""))</f>
        <v>44346</v>
      </c>
      <c r="O45" s="1726"/>
      <c r="P45" s="1329">
        <f>C45+E45+G45+I45+K45+M45+O45</f>
        <v>0</v>
      </c>
      <c r="Q45" s="389"/>
      <c r="R45" s="389"/>
      <c r="S45" s="389"/>
      <c r="T45" s="389"/>
      <c r="U45" s="389"/>
      <c r="V45" s="389"/>
      <c r="W45" s="389"/>
      <c r="X45" s="389"/>
      <c r="Y45" s="389"/>
      <c r="Z45" s="389"/>
      <c r="AC45"/>
      <c r="AD45"/>
      <c r="AE45"/>
      <c r="AF45"/>
      <c r="AG45"/>
      <c r="AH45"/>
    </row>
    <row r="46" spans="1:34" s="357" customFormat="1" ht="15" customHeight="1" thickTop="1" thickBot="1" x14ac:dyDescent="0.3">
      <c r="A46" s="377"/>
      <c r="B46" s="1448">
        <f>IF(DAY(Mai_Dim1)=1,IF(AND(YEAR(Mai_Dim1+29)=Année_Calendaire,MONTH(Mai_Dim1+29)=5),Mai_Dim1+29,""),IF(AND(YEAR(Mai_Dim1+36)=Année_Calendaire,MONTH(Mai_Dim1+36)=5),Mai_Dim1+36,""))</f>
        <v>44347</v>
      </c>
      <c r="C46" s="1726"/>
      <c r="D46" s="1452" t="str">
        <f>IF(DAY(Mai_Dim1)=1,IF(AND(YEAR(Mai_Dim1+30)=Année_Calendaire,MONTH(Mai_Dim1+30)=5),Mai_Dim1+30,""),IF(AND(YEAR(Mai_Dim1+37)=Année_Calendaire,MONTH(Mai_Dim1+37)=5),Mai_Dim1+37,""))</f>
        <v/>
      </c>
      <c r="E46" s="1726"/>
      <c r="F46" s="373"/>
      <c r="G46" s="374"/>
      <c r="H46" s="375" t="s">
        <v>749</v>
      </c>
      <c r="I46" s="1585">
        <f>SUM(B47:O47)</f>
        <v>0</v>
      </c>
      <c r="J46" s="1585"/>
      <c r="K46" s="375">
        <f>COUNTA(C41:C46,E41:E46,G41:G45,I41:I45,K41:K45,M41:M45,O41:O45)</f>
        <v>0</v>
      </c>
      <c r="L46" s="374" t="s">
        <v>750</v>
      </c>
      <c r="M46" s="374"/>
      <c r="N46" s="375" t="s">
        <v>751</v>
      </c>
      <c r="O46" s="376" t="e">
        <f>I46/K46</f>
        <v>#DIV/0!</v>
      </c>
      <c r="P46" s="1330">
        <f>C46+E46</f>
        <v>0</v>
      </c>
      <c r="Q46" s="389"/>
      <c r="R46" s="389"/>
      <c r="S46" s="389"/>
      <c r="T46" s="389"/>
      <c r="U46" s="389"/>
      <c r="V46" s="389"/>
      <c r="W46" s="389"/>
      <c r="X46" s="389"/>
      <c r="Y46" s="389"/>
      <c r="Z46" s="389"/>
      <c r="AC46"/>
      <c r="AD46"/>
      <c r="AE46"/>
      <c r="AF46"/>
      <c r="AG46"/>
      <c r="AH46"/>
    </row>
    <row r="47" spans="1:34" s="357" customFormat="1" ht="15" customHeight="1" thickTop="1" thickBot="1" x14ac:dyDescent="0.3">
      <c r="A47" s="377"/>
      <c r="B47" s="1331"/>
      <c r="C47" s="1332">
        <f>SUM(C41:C46)</f>
        <v>0</v>
      </c>
      <c r="D47" s="1333"/>
      <c r="E47" s="1334">
        <f>SUM(E41:E46)</f>
        <v>0</v>
      </c>
      <c r="F47" s="1333"/>
      <c r="G47" s="1334">
        <f>SUM(G41:G45)</f>
        <v>0</v>
      </c>
      <c r="H47" s="1333"/>
      <c r="I47" s="1334">
        <f>SUM(I41:I45)</f>
        <v>0</v>
      </c>
      <c r="J47" s="1333"/>
      <c r="K47" s="1334">
        <f>SUM(K41:K45)</f>
        <v>0</v>
      </c>
      <c r="L47" s="1333"/>
      <c r="M47" s="1334">
        <f>SUM(M41:M45)</f>
        <v>0</v>
      </c>
      <c r="N47" s="1333"/>
      <c r="O47" s="1334">
        <f>SUM(O41:O45)</f>
        <v>0</v>
      </c>
      <c r="P47" s="1335"/>
      <c r="Q47" s="389"/>
      <c r="R47" s="389"/>
      <c r="S47" s="389"/>
      <c r="T47" s="389"/>
      <c r="U47" s="389"/>
      <c r="V47" s="389"/>
      <c r="W47" s="389"/>
      <c r="X47" s="389"/>
      <c r="Y47" s="389"/>
      <c r="Z47" s="389"/>
      <c r="AC47"/>
      <c r="AD47"/>
      <c r="AE47"/>
      <c r="AF47"/>
      <c r="AG47"/>
      <c r="AH47"/>
    </row>
    <row r="48" spans="1:34" ht="30" customHeight="1" x14ac:dyDescent="0.25">
      <c r="A48" s="371"/>
      <c r="B48" s="1590">
        <f>D52</f>
        <v>44362</v>
      </c>
      <c r="C48" s="1591"/>
      <c r="D48" s="1591"/>
      <c r="E48" s="1591"/>
      <c r="F48" s="1591"/>
      <c r="G48" s="1591"/>
      <c r="H48" s="1591"/>
      <c r="I48" s="1591"/>
      <c r="J48" s="1591"/>
      <c r="K48" s="1591"/>
      <c r="L48" s="1591"/>
      <c r="M48" s="1591"/>
      <c r="N48" s="1591"/>
      <c r="O48" s="1591"/>
      <c r="P48" s="1592"/>
      <c r="Q48" s="386"/>
      <c r="R48" s="386"/>
      <c r="S48" s="386"/>
      <c r="T48" s="386"/>
      <c r="U48" s="386"/>
      <c r="V48" s="386"/>
      <c r="W48" s="386"/>
      <c r="X48" s="386"/>
      <c r="Y48" s="386"/>
      <c r="Z48" s="386"/>
    </row>
    <row r="49" spans="1:34" s="377" customFormat="1" ht="29.25" customHeight="1" x14ac:dyDescent="0.25">
      <c r="B49" s="1586" t="s">
        <v>752</v>
      </c>
      <c r="C49" s="1587"/>
      <c r="D49" s="1587" t="s">
        <v>753</v>
      </c>
      <c r="E49" s="1587"/>
      <c r="F49" s="1587" t="s">
        <v>754</v>
      </c>
      <c r="G49" s="1587"/>
      <c r="H49" s="1587" t="s">
        <v>755</v>
      </c>
      <c r="I49" s="1587"/>
      <c r="J49" s="1587" t="s">
        <v>756</v>
      </c>
      <c r="K49" s="1587"/>
      <c r="L49" s="1588" t="s">
        <v>757</v>
      </c>
      <c r="M49" s="1588"/>
      <c r="N49" s="1589" t="s">
        <v>758</v>
      </c>
      <c r="O49" s="1589"/>
      <c r="P49" s="1327" t="s">
        <v>759</v>
      </c>
      <c r="Q49" s="389"/>
      <c r="R49" s="388"/>
      <c r="S49" s="388"/>
      <c r="T49" s="388"/>
      <c r="U49" s="388"/>
      <c r="V49" s="388"/>
      <c r="W49" s="388"/>
      <c r="X49" s="388"/>
      <c r="Y49" s="388"/>
      <c r="Z49" s="388"/>
      <c r="AC49"/>
      <c r="AD49"/>
      <c r="AE49"/>
      <c r="AF49"/>
      <c r="AG49"/>
      <c r="AH49"/>
    </row>
    <row r="50" spans="1:34" s="377" customFormat="1" ht="15" customHeight="1" x14ac:dyDescent="0.25">
      <c r="B50" s="1445" t="str">
        <f>IF(DAY(Juin_Dim1)=1,"",IF(AND(YEAR(Juin_Dim1+1)=Année_Calendaire,MONTH(Juin_Dim1+1)=6),Juin_Dim1+1,""))</f>
        <v/>
      </c>
      <c r="C50" s="1724"/>
      <c r="D50" s="1449">
        <f>IF(DAY(Juin_Dim1)=1,"",IF(AND(YEAR(Juin_Dim1+2)=Année_Calendaire,MONTH(Juin_Dim1+2)=6),Juin_Dim1+2,""))</f>
        <v>44348</v>
      </c>
      <c r="E50" s="1724"/>
      <c r="F50" s="1449">
        <f>IF(DAY(Juin_Dim1)=1,"",IF(AND(YEAR(Juin_Dim1+3)=Année_Calendaire,MONTH(Juin_Dim1+3)=6),Juin_Dim1+3,""))</f>
        <v>44349</v>
      </c>
      <c r="G50" s="1724"/>
      <c r="H50" s="1449">
        <f>IF(DAY(Juin_Dim1)=1,"",IF(AND(YEAR(Juin_Dim1+4)=Année_Calendaire,MONTH(Juin_Dim1+4)=6),Juin_Dim1+4,""))</f>
        <v>44350</v>
      </c>
      <c r="I50" s="1724"/>
      <c r="J50" s="1449">
        <f>IF(DAY(Juin_Dim1)=1,"",IF(AND(YEAR(Juin_Dim1+5)=Année_Calendaire,MONTH(Juin_Dim1+5)=6),Juin_Dim1+5,""))</f>
        <v>44351</v>
      </c>
      <c r="K50" s="1724"/>
      <c r="L50" s="1442">
        <f>IF(DAY(Juin_Dim1)=1,"",IF(AND(YEAR(Juin_Dim1+6)=Année_Calendaire,MONTH(Juin_Dim1+6)=6),Juin_Dim1+6,""))</f>
        <v>44352</v>
      </c>
      <c r="M50" s="1724"/>
      <c r="N50" s="1439">
        <f>IF(DAY(Juin_Dim1)=1,IF(AND(YEAR(Juin_Dim1)=Année_Calendaire,MONTH(Juin_Dim1)=6),Juin_Dim1,""),IF(AND(YEAR(Juin_Dim1+7)=Année_Calendaire,MONTH(Juin_Dim1+7)=6),Juin_Dim1+7,""))</f>
        <v>44353</v>
      </c>
      <c r="O50" s="1724"/>
      <c r="P50" s="1328">
        <f>C50+E50+G50+I50+K50+M50+O50</f>
        <v>0</v>
      </c>
      <c r="Q50" s="388"/>
      <c r="R50" s="388"/>
      <c r="S50" s="388"/>
      <c r="T50" s="388"/>
      <c r="U50" s="388"/>
      <c r="V50" s="388"/>
      <c r="W50" s="388"/>
      <c r="X50" s="388"/>
      <c r="Y50" s="388"/>
      <c r="Z50" s="388"/>
      <c r="AC50"/>
      <c r="AD50"/>
      <c r="AE50"/>
      <c r="AF50"/>
      <c r="AG50"/>
      <c r="AH50"/>
    </row>
    <row r="51" spans="1:34" s="357" customFormat="1" ht="15" customHeight="1" x14ac:dyDescent="0.25">
      <c r="A51" s="377"/>
      <c r="B51" s="1446">
        <f>IF(DAY(Juin_Dim1)=1,IF(AND(YEAR(Juin_Dim1+1)=Année_Calendaire,MONTH(Juin_Dim1+1)=6),Juin_Dim1+1,""),IF(AND(YEAR(Juin_Dim1+8)=Année_Calendaire,MONTH(Juin_Dim1+8)=6),Juin_Dim1+8,""))</f>
        <v>44354</v>
      </c>
      <c r="C51" s="1725"/>
      <c r="D51" s="1450">
        <f>IF(DAY(Juin_Dim1)=1,IF(AND(YEAR(Juin_Dim1+2)=Année_Calendaire,MONTH(Juin_Dim1+2)=6),Juin_Dim1+2,""),IF(AND(YEAR(Juin_Dim1+9)=Année_Calendaire,MONTH(Juin_Dim1+9)=6),Juin_Dim1+9,""))</f>
        <v>44355</v>
      </c>
      <c r="E51" s="1725"/>
      <c r="F51" s="1450">
        <f>IF(DAY(Juin_Dim1)=1,IF(AND(YEAR(Juin_Dim1+3)=Année_Calendaire,MONTH(Juin_Dim1+3)=6),Juin_Dim1+3,""),IF(AND(YEAR(Juin_Dim1+10)=Année_Calendaire,MONTH(Juin_Dim1+10)=6),Juin_Dim1+10,""))</f>
        <v>44356</v>
      </c>
      <c r="G51" s="1725"/>
      <c r="H51" s="1450">
        <f>IF(DAY(Juin_Dim1)=1,IF(AND(YEAR(Juin_Dim1+4)=Année_Calendaire,MONTH(Juin_Dim1+4)=6),Juin_Dim1+4,""),IF(AND(YEAR(Juin_Dim1+11)=Année_Calendaire,MONTH(Juin_Dim1+11)=6),Juin_Dim1+11,""))</f>
        <v>44357</v>
      </c>
      <c r="I51" s="1725"/>
      <c r="J51" s="1450">
        <f>IF(DAY(Juin_Dim1)=1,IF(AND(YEAR(Juin_Dim1+5)=Année_Calendaire,MONTH(Juin_Dim1+5)=6),Juin_Dim1+5,""),IF(AND(YEAR(Juin_Dim1+12)=Année_Calendaire,MONTH(Juin_Dim1+12)=6),Juin_Dim1+12,""))</f>
        <v>44358</v>
      </c>
      <c r="K51" s="1725"/>
      <c r="L51" s="1443">
        <f>IF(DAY(Juin_Dim1)=1,IF(AND(YEAR(Juin_Dim1+6)=Année_Calendaire,MONTH(Juin_Dim1+6)=6),Juin_Dim1+6,""),IF(AND(YEAR(Juin_Dim1+13)=Année_Calendaire,MONTH(Juin_Dim1+13)=6),Juin_Dim1+13,""))</f>
        <v>44359</v>
      </c>
      <c r="M51" s="1725"/>
      <c r="N51" s="1440">
        <f>IF(DAY(Juin_Dim1)=1,IF(AND(YEAR(Juin_Dim1+7)=Année_Calendaire,MONTH(Juin_Dim1+7)=6),Juin_Dim1+7,""),IF(AND(YEAR(Juin_Dim1+14)=Année_Calendaire,MONTH(Juin_Dim1+14)=6),Juin_Dim1+14,""))</f>
        <v>44360</v>
      </c>
      <c r="O51" s="1725"/>
      <c r="P51" s="1329">
        <f>C51+E51+G51+I51+K51+M51+O51</f>
        <v>0</v>
      </c>
      <c r="Q51" s="389"/>
      <c r="R51" s="389"/>
      <c r="S51" s="389"/>
      <c r="T51" s="389"/>
      <c r="U51" s="389"/>
      <c r="V51" s="389"/>
      <c r="W51" s="389"/>
      <c r="X51" s="389"/>
      <c r="Y51" s="389"/>
      <c r="Z51" s="389"/>
      <c r="AC51"/>
      <c r="AD51"/>
      <c r="AE51"/>
      <c r="AF51"/>
      <c r="AG51"/>
      <c r="AH51"/>
    </row>
    <row r="52" spans="1:34" s="357" customFormat="1" ht="15" customHeight="1" x14ac:dyDescent="0.25">
      <c r="A52" s="377"/>
      <c r="B52" s="1447">
        <f>IF(DAY(Juin_Dim1)=1,IF(AND(YEAR(Juin_Dim1+8)=Année_Calendaire,MONTH(Juin_Dim1+8)=6),Juin_Dim1+8,""),IF(AND(YEAR(Juin_Dim1+15)=Année_Calendaire,MONTH(Juin_Dim1+15)=6),Juin_Dim1+15,""))</f>
        <v>44361</v>
      </c>
      <c r="C52" s="1725"/>
      <c r="D52" s="1451">
        <f>IF(DAY(Juin_Dim1)=1,IF(AND(YEAR(Juin_Dim1+9)=Année_Calendaire,MONTH(Juin_Dim1+9)=6),Juin_Dim1+9,""),IF(AND(YEAR(Juin_Dim1+16)=Année_Calendaire,MONTH(Juin_Dim1+16)=6),Juin_Dim1+16,""))</f>
        <v>44362</v>
      </c>
      <c r="E52" s="1725"/>
      <c r="F52" s="1451">
        <f>IF(DAY(Juin_Dim1)=1,IF(AND(YEAR(Juin_Dim1+10)=Année_Calendaire,MONTH(Juin_Dim1+10)=6),Juin_Dim1+10,""),IF(AND(YEAR(Juin_Dim1+17)=Année_Calendaire,MONTH(Juin_Dim1+17)=6),Juin_Dim1+17,""))</f>
        <v>44363</v>
      </c>
      <c r="G52" s="1725"/>
      <c r="H52" s="1451">
        <f>IF(DAY(Juin_Dim1)=1,IF(AND(YEAR(Juin_Dim1+11)=Année_Calendaire,MONTH(Juin_Dim1+11)=6),Juin_Dim1+11,""),IF(AND(YEAR(Juin_Dim1+18)=Année_Calendaire,MONTH(Juin_Dim1+18)=6),Juin_Dim1+18,""))</f>
        <v>44364</v>
      </c>
      <c r="I52" s="1725"/>
      <c r="J52" s="1451">
        <f>IF(DAY(Juin_Dim1)=1,IF(AND(YEAR(Juin_Dim1+12)=Année_Calendaire,MONTH(Juin_Dim1+12)=6),Juin_Dim1+12,""),IF(AND(YEAR(Juin_Dim1+19)=Année_Calendaire,MONTH(Juin_Dim1+19)=6),Juin_Dim1+19,""))</f>
        <v>44365</v>
      </c>
      <c r="K52" s="1725"/>
      <c r="L52" s="1444">
        <f>IF(DAY(Juin_Dim1)=1,IF(AND(YEAR(Juin_Dim1+13)=Année_Calendaire,MONTH(Juin_Dim1+13)=6),Juin_Dim1+13,""),IF(AND(YEAR(Juin_Dim1+20)=Année_Calendaire,MONTH(Juin_Dim1+20)=6),Juin_Dim1+20,""))</f>
        <v>44366</v>
      </c>
      <c r="M52" s="1725"/>
      <c r="N52" s="1441">
        <f>IF(DAY(Juin_Dim1)=1,IF(AND(YEAR(Juin_Dim1+14)=Année_Calendaire,MONTH(Juin_Dim1+14)=6),Juin_Dim1+14,""),IF(AND(YEAR(Juin_Dim1+21)=Année_Calendaire,MONTH(Juin_Dim1+21)=6),Juin_Dim1+21,""))</f>
        <v>44367</v>
      </c>
      <c r="O52" s="1725"/>
      <c r="P52" s="1329">
        <f>C52+E52+G52+I52+K52+M52+O52</f>
        <v>0</v>
      </c>
      <c r="Q52" s="389"/>
      <c r="R52" s="389"/>
      <c r="S52" s="389"/>
      <c r="T52" s="389"/>
      <c r="U52" s="389"/>
      <c r="V52" s="389"/>
      <c r="W52" s="389"/>
      <c r="X52" s="389"/>
      <c r="Y52" s="389"/>
      <c r="Z52" s="389"/>
      <c r="AC52"/>
      <c r="AD52"/>
      <c r="AE52"/>
      <c r="AF52"/>
      <c r="AG52"/>
      <c r="AH52"/>
    </row>
    <row r="53" spans="1:34" s="357" customFormat="1" ht="15" customHeight="1" x14ac:dyDescent="0.25">
      <c r="A53" s="377"/>
      <c r="B53" s="1446">
        <f>IF(DAY(Juin_Dim1)=1,IF(AND(YEAR(Juin_Dim1+15)=Année_Calendaire,MONTH(Juin_Dim1+15)=6),Juin_Dim1+15,""),IF(AND(YEAR(Juin_Dim1+22)=Année_Calendaire,MONTH(Juin_Dim1+22)=6),Juin_Dim1+22,""))</f>
        <v>44368</v>
      </c>
      <c r="C53" s="1725"/>
      <c r="D53" s="1450">
        <f>IF(DAY(Juin_Dim1)=1,IF(AND(YEAR(Juin_Dim1+16)=Année_Calendaire,MONTH(Juin_Dim1+16)=6),Juin_Dim1+16,""),IF(AND(YEAR(Juin_Dim1+23)=Année_Calendaire,MONTH(Juin_Dim1+23)=6),Juin_Dim1+23,""))</f>
        <v>44369</v>
      </c>
      <c r="E53" s="1725"/>
      <c r="F53" s="1450">
        <f>IF(DAY(Juin_Dim1)=1,IF(AND(YEAR(Juin_Dim1+17)=Année_Calendaire,MONTH(Juin_Dim1+17)=6),Juin_Dim1+17,""),IF(AND(YEAR(Juin_Dim1+24)=Année_Calendaire,MONTH(Juin_Dim1+24)=6),Juin_Dim1+24,""))</f>
        <v>44370</v>
      </c>
      <c r="G53" s="1725"/>
      <c r="H53" s="1450">
        <f>IF(DAY(Juin_Dim1)=1,IF(AND(YEAR(Juin_Dim1+18)=Année_Calendaire,MONTH(Juin_Dim1+18)=6),Juin_Dim1+18,""),IF(AND(YEAR(Juin_Dim1+25)=Année_Calendaire,MONTH(Juin_Dim1+25)=6),Juin_Dim1+25,""))</f>
        <v>44371</v>
      </c>
      <c r="I53" s="1725"/>
      <c r="J53" s="1450">
        <f>IF(DAY(Juin_Dim1)=1,IF(AND(YEAR(Juin_Dim1+19)=Année_Calendaire,MONTH(Juin_Dim1+19)=6),Juin_Dim1+19,""),IF(AND(YEAR(Juin_Dim1+26)=Année_Calendaire,MONTH(Juin_Dim1+26)=6),Juin_Dim1+26,""))</f>
        <v>44372</v>
      </c>
      <c r="K53" s="1725"/>
      <c r="L53" s="1443">
        <f>IF(DAY(Juin_Dim1)=1,IF(AND(YEAR(Juin_Dim1+20)=Année_Calendaire,MONTH(Juin_Dim1+20)=6),Juin_Dim1+20,""),IF(AND(YEAR(Juin_Dim1+27)=Année_Calendaire,MONTH(Juin_Dim1+27)=6),Juin_Dim1+27,""))</f>
        <v>44373</v>
      </c>
      <c r="M53" s="1725"/>
      <c r="N53" s="1440">
        <f>IF(DAY(Juin_Dim1)=1,IF(AND(YEAR(Juin_Dim1+21)=Année_Calendaire,MONTH(Juin_Dim1+21)=6),Juin_Dim1+21,""),IF(AND(YEAR(Juin_Dim1+28)=Année_Calendaire,MONTH(Juin_Dim1+28)=6),Juin_Dim1+28,""))</f>
        <v>44374</v>
      </c>
      <c r="O53" s="1725"/>
      <c r="P53" s="1329">
        <f>C53+E53+G53+I53+K53+M53+O53</f>
        <v>0</v>
      </c>
      <c r="Q53" s="389"/>
      <c r="R53" s="389"/>
      <c r="S53" s="389"/>
      <c r="T53" s="389"/>
      <c r="U53" s="389"/>
      <c r="V53" s="389"/>
      <c r="W53" s="389"/>
      <c r="X53" s="389"/>
      <c r="Y53" s="389"/>
      <c r="Z53" s="389"/>
      <c r="AC53"/>
      <c r="AD53"/>
      <c r="AE53"/>
      <c r="AF53"/>
      <c r="AG53"/>
      <c r="AH53"/>
    </row>
    <row r="54" spans="1:34" s="357" customFormat="1" ht="15" customHeight="1" thickBot="1" x14ac:dyDescent="0.3">
      <c r="A54" s="377"/>
      <c r="B54" s="1447">
        <f>IF(DAY(Juin_Dim1)=1,IF(AND(YEAR(Juin_Dim1+22)=Année_Calendaire,MONTH(Juin_Dim1+22)=6),Juin_Dim1+22,""),IF(AND(YEAR(Juin_Dim1+29)=Année_Calendaire,MONTH(Juin_Dim1+29)=6),Juin_Dim1+29,""))</f>
        <v>44375</v>
      </c>
      <c r="C54" s="1725"/>
      <c r="D54" s="1451">
        <f>IF(DAY(Juin_Dim1)=1,IF(AND(YEAR(Juin_Dim1+23)=Année_Calendaire,MONTH(Juin_Dim1+23)=6),Juin_Dim1+23,""),IF(AND(YEAR(Juin_Dim1+30)=Année_Calendaire,MONTH(Juin_Dim1+30)=6),Juin_Dim1+30,""))</f>
        <v>44376</v>
      </c>
      <c r="E54" s="1725"/>
      <c r="F54" s="1451">
        <f>IF(DAY(Juin_Dim1)=1,IF(AND(YEAR(Juin_Dim1+24)=Année_Calendaire,MONTH(Juin_Dim1+24)=6),Juin_Dim1+24,""),IF(AND(YEAR(Juin_Dim1+31)=Année_Calendaire,MONTH(Juin_Dim1+31)=6),Juin_Dim1+31,""))</f>
        <v>44377</v>
      </c>
      <c r="G54" s="1726"/>
      <c r="H54" s="1451" t="str">
        <f>IF(DAY(Juin_Dim1)=1,IF(AND(YEAR(Juin_Dim1+25)=Année_Calendaire,MONTH(Juin_Dim1+25)=6),Juin_Dim1+25,""),IF(AND(YEAR(Juin_Dim1+32)=Année_Calendaire,MONTH(Juin_Dim1+32)=6),Juin_Dim1+32,""))</f>
        <v/>
      </c>
      <c r="I54" s="1726"/>
      <c r="J54" s="1451" t="str">
        <f>IF(DAY(Juin_Dim1)=1,IF(AND(YEAR(Juin_Dim1+26)=Année_Calendaire,MONTH(Juin_Dim1+26)=6),Juin_Dim1+26,""),IF(AND(YEAR(Juin_Dim1+33)=Année_Calendaire,MONTH(Juin_Dim1+33)=6),Juin_Dim1+33,""))</f>
        <v/>
      </c>
      <c r="K54" s="1726"/>
      <c r="L54" s="1444" t="str">
        <f>IF(DAY(Juin_Dim1)=1,IF(AND(YEAR(Juin_Dim1+27)=Année_Calendaire,MONTH(Juin_Dim1+27)=6),Juin_Dim1+27,""),IF(AND(YEAR(Juin_Dim1+34)=Année_Calendaire,MONTH(Juin_Dim1+34)=6),Juin_Dim1+34,""))</f>
        <v/>
      </c>
      <c r="M54" s="1726"/>
      <c r="N54" s="1441" t="str">
        <f>IF(DAY(Juin_Dim1)=1,IF(AND(YEAR(Juin_Dim1+28)=Année_Calendaire,MONTH(Juin_Dim1+28)=6),Juin_Dim1+28,""),IF(AND(YEAR(Juin_Dim1+35)=Année_Calendaire,MONTH(Juin_Dim1+35)=6),Juin_Dim1+35,""))</f>
        <v/>
      </c>
      <c r="O54" s="1726"/>
      <c r="P54" s="1329">
        <f>C54+E54+G54+I54+K54+M54+O54</f>
        <v>0</v>
      </c>
      <c r="Q54" s="389"/>
      <c r="R54" s="389"/>
      <c r="S54" s="389"/>
      <c r="T54" s="389"/>
      <c r="U54" s="389"/>
      <c r="V54" s="389"/>
      <c r="W54" s="389"/>
      <c r="X54" s="389"/>
      <c r="Y54" s="389"/>
      <c r="Z54" s="389"/>
      <c r="AC54"/>
      <c r="AD54"/>
      <c r="AE54"/>
      <c r="AF54"/>
      <c r="AG54"/>
      <c r="AH54"/>
    </row>
    <row r="55" spans="1:34" s="357" customFormat="1" ht="15" customHeight="1" thickTop="1" thickBot="1" x14ac:dyDescent="0.3">
      <c r="A55" s="377"/>
      <c r="B55" s="1448" t="str">
        <f>IF(DAY(Juin_Dim1)=1,IF(AND(YEAR(Juin_Dim1+29)=Année_Calendaire,MONTH(Juin_Dim1+29)=6),Juin_Dim1+29,""),IF(AND(YEAR(Juin_Dim1+36)=Année_Calendaire,MONTH(Juin_Dim1+36)=6),Juin_Dim1+36,""))</f>
        <v/>
      </c>
      <c r="C55" s="1726"/>
      <c r="D55" s="1452" t="str">
        <f>IF(DAY(Juin_Dim1)=1,IF(AND(YEAR(Juin_Dim1+30)=Année_Calendaire,MONTH(Juin_Dim1+30)=6),Juin_Dim1+30,""),IF(AND(YEAR(Juin_Dim1+37)=Année_Calendaire,MONTH(Juin_Dim1+37)=6),Juin_Dim1+37,""))</f>
        <v/>
      </c>
      <c r="E55" s="1726"/>
      <c r="F55" s="373"/>
      <c r="G55" s="374"/>
      <c r="H55" s="375" t="s">
        <v>749</v>
      </c>
      <c r="I55" s="1585">
        <f>SUM(B56:O56)</f>
        <v>0</v>
      </c>
      <c r="J55" s="1585"/>
      <c r="K55" s="375">
        <f>COUNTA(C50:C55,E50:E55,G50:G54,I50:I54,K50:K54,M50:M54,O50:O54)</f>
        <v>0</v>
      </c>
      <c r="L55" s="374" t="s">
        <v>750</v>
      </c>
      <c r="M55" s="374"/>
      <c r="N55" s="375" t="s">
        <v>751</v>
      </c>
      <c r="O55" s="376" t="e">
        <f>I55/K55</f>
        <v>#DIV/0!</v>
      </c>
      <c r="P55" s="1330">
        <f>C55+E55</f>
        <v>0</v>
      </c>
      <c r="Q55" s="389"/>
      <c r="R55" s="389"/>
      <c r="S55" s="389"/>
      <c r="T55" s="389"/>
      <c r="U55" s="389"/>
      <c r="V55" s="389"/>
      <c r="W55" s="389"/>
      <c r="X55" s="389"/>
      <c r="Y55" s="389"/>
      <c r="Z55" s="389"/>
      <c r="AC55"/>
      <c r="AD55"/>
      <c r="AE55"/>
      <c r="AF55"/>
      <c r="AG55"/>
      <c r="AH55"/>
    </row>
    <row r="56" spans="1:34" ht="17.25" thickTop="1" thickBot="1" x14ac:dyDescent="0.3">
      <c r="B56" s="1331"/>
      <c r="C56" s="1332">
        <f>SUM(C50:C55)</f>
        <v>0</v>
      </c>
      <c r="D56" s="1333"/>
      <c r="E56" s="1334">
        <f>SUM(E50:E55)</f>
        <v>0</v>
      </c>
      <c r="F56" s="1333"/>
      <c r="G56" s="1334">
        <f>SUM(G50:G54)</f>
        <v>0</v>
      </c>
      <c r="H56" s="1333"/>
      <c r="I56" s="1334">
        <f>SUM(I50:I54)</f>
        <v>0</v>
      </c>
      <c r="J56" s="1333"/>
      <c r="K56" s="1334">
        <f>SUM(K50:K54)</f>
        <v>0</v>
      </c>
      <c r="L56" s="1333"/>
      <c r="M56" s="1334">
        <f>SUM(M50:M54)</f>
        <v>0</v>
      </c>
      <c r="N56" s="1333"/>
      <c r="O56" s="1334">
        <f>SUM(O50:O54)</f>
        <v>0</v>
      </c>
      <c r="P56" s="1335"/>
      <c r="Q56" s="386"/>
      <c r="R56" s="386"/>
      <c r="S56" s="386"/>
      <c r="T56" s="386"/>
      <c r="U56" s="386"/>
      <c r="V56" s="386"/>
      <c r="W56" s="386"/>
      <c r="X56" s="386"/>
      <c r="Y56" s="386"/>
      <c r="Z56" s="386"/>
    </row>
    <row r="57" spans="1:34" ht="30" customHeight="1" x14ac:dyDescent="0.25">
      <c r="A57" s="371"/>
      <c r="B57" s="1590">
        <f>D61</f>
        <v>44390</v>
      </c>
      <c r="C57" s="1591"/>
      <c r="D57" s="1591"/>
      <c r="E57" s="1591"/>
      <c r="F57" s="1591"/>
      <c r="G57" s="1591"/>
      <c r="H57" s="1591"/>
      <c r="I57" s="1591"/>
      <c r="J57" s="1591"/>
      <c r="K57" s="1591"/>
      <c r="L57" s="1591"/>
      <c r="M57" s="1591"/>
      <c r="N57" s="1591"/>
      <c r="O57" s="1591"/>
      <c r="P57" s="1592"/>
      <c r="Q57" s="386"/>
      <c r="R57" s="386"/>
      <c r="S57" s="386"/>
      <c r="T57" s="386"/>
      <c r="U57" s="386"/>
      <c r="V57" s="386"/>
      <c r="W57" s="386"/>
      <c r="X57" s="386"/>
      <c r="Y57" s="386"/>
      <c r="Z57" s="386"/>
    </row>
    <row r="58" spans="1:34" s="377" customFormat="1" ht="29.25" customHeight="1" x14ac:dyDescent="0.25">
      <c r="B58" s="1586" t="s">
        <v>752</v>
      </c>
      <c r="C58" s="1587"/>
      <c r="D58" s="1587" t="s">
        <v>753</v>
      </c>
      <c r="E58" s="1587"/>
      <c r="F58" s="1587" t="s">
        <v>754</v>
      </c>
      <c r="G58" s="1587"/>
      <c r="H58" s="1587" t="s">
        <v>755</v>
      </c>
      <c r="I58" s="1587"/>
      <c r="J58" s="1587" t="s">
        <v>756</v>
      </c>
      <c r="K58" s="1587"/>
      <c r="L58" s="1588" t="s">
        <v>757</v>
      </c>
      <c r="M58" s="1588"/>
      <c r="N58" s="1589" t="s">
        <v>758</v>
      </c>
      <c r="O58" s="1589"/>
      <c r="P58" s="1327" t="s">
        <v>759</v>
      </c>
      <c r="Q58" s="389"/>
      <c r="R58" s="388"/>
      <c r="S58" s="388"/>
      <c r="T58" s="388"/>
      <c r="U58" s="388"/>
      <c r="V58" s="388"/>
      <c r="W58" s="388"/>
      <c r="X58" s="388"/>
      <c r="Y58" s="388"/>
      <c r="Z58" s="388"/>
      <c r="AC58"/>
      <c r="AD58"/>
      <c r="AE58"/>
      <c r="AF58"/>
      <c r="AG58"/>
      <c r="AH58"/>
    </row>
    <row r="59" spans="1:34" s="377" customFormat="1" ht="15" customHeight="1" x14ac:dyDescent="0.25">
      <c r="B59" s="1445" t="str">
        <f>IF(DAY(Juil_Dim1)=1,"",IF(AND(YEAR(Juil_Dim1+1)=Année_Calendaire,MONTH(Juil_Dim1+1)=7),Juil_Dim1+1,""))</f>
        <v/>
      </c>
      <c r="C59" s="1724"/>
      <c r="D59" s="1449" t="str">
        <f>IF(DAY(Juil_Dim1)=1,"",IF(AND(YEAR(Juil_Dim1+2)=Année_Calendaire,MONTH(Juil_Dim1+2)=7),Juil_Dim1+2,""))</f>
        <v/>
      </c>
      <c r="E59" s="1724"/>
      <c r="F59" s="1449" t="str">
        <f>IF(DAY(Juil_Dim1)=1,"",IF(AND(YEAR(Juil_Dim1+3)=Année_Calendaire,MONTH(Juil_Dim1+3)=7),Juil_Dim1+3,""))</f>
        <v/>
      </c>
      <c r="G59" s="1724"/>
      <c r="H59" s="1449">
        <f>IF(DAY(Juil_Dim1)=1,"",IF(AND(YEAR(Juil_Dim1+4)=Année_Calendaire,MONTH(Juil_Dim1+4)=7),Juil_Dim1+4,""))</f>
        <v>44378</v>
      </c>
      <c r="I59" s="1724"/>
      <c r="J59" s="1449">
        <f>IF(DAY(Juil_Dim1)=1,"",IF(AND(YEAR(Juil_Dim1+5)=Année_Calendaire,MONTH(Juil_Dim1+5)=7),Juil_Dim1+5,""))</f>
        <v>44379</v>
      </c>
      <c r="K59" s="1724"/>
      <c r="L59" s="1442">
        <f>IF(DAY(Juil_Dim1)=1,"",IF(AND(YEAR(Juil_Dim1+6)=Année_Calendaire,MONTH(Juil_Dim1+6)=7),Juil_Dim1+6,""))</f>
        <v>44380</v>
      </c>
      <c r="M59" s="1724"/>
      <c r="N59" s="1439">
        <f>IF(DAY(Juil_Dim1)=1,IF(AND(YEAR(Juil_Dim1)=Année_Calendaire,MONTH(Juil_Dim1)=7),Juil_Dim1,""),IF(AND(YEAR(Juil_Dim1+7)=Année_Calendaire,MONTH(Juil_Dim1+7)=7),Juil_Dim1+7,""))</f>
        <v>44381</v>
      </c>
      <c r="O59" s="1724"/>
      <c r="P59" s="1328">
        <f>C59+E59+G59+I59+K59+M59+O59</f>
        <v>0</v>
      </c>
      <c r="Q59" s="388"/>
      <c r="R59" s="388"/>
      <c r="S59" s="388"/>
      <c r="T59" s="388"/>
      <c r="U59" s="388"/>
      <c r="V59" s="388"/>
      <c r="W59" s="388"/>
      <c r="X59" s="388"/>
      <c r="Y59" s="388"/>
      <c r="Z59" s="388"/>
      <c r="AC59"/>
      <c r="AD59"/>
      <c r="AE59"/>
      <c r="AF59"/>
      <c r="AG59"/>
      <c r="AH59"/>
    </row>
    <row r="60" spans="1:34" s="357" customFormat="1" ht="15" customHeight="1" x14ac:dyDescent="0.25">
      <c r="A60" s="377"/>
      <c r="B60" s="1446">
        <f>IF(DAY(Juil_Dim1)=1,IF(AND(YEAR(Juil_Dim1+1)=Année_Calendaire,MONTH(Juil_Dim1+1)=7),Juil_Dim1+1,""),IF(AND(YEAR(Juil_Dim1+8)=Année_Calendaire,MONTH(Juil_Dim1+8)=7),Juil_Dim1+8,""))</f>
        <v>44382</v>
      </c>
      <c r="C60" s="1725"/>
      <c r="D60" s="1450">
        <f>IF(DAY(Juil_Dim1)=1,IF(AND(YEAR(Juil_Dim1+2)=Année_Calendaire,MONTH(Juil_Dim1+2)=7),Juil_Dim1+2,""),IF(AND(YEAR(Juil_Dim1+9)=Année_Calendaire,MONTH(Juil_Dim1+9)=7),Juil_Dim1+9,""))</f>
        <v>44383</v>
      </c>
      <c r="E60" s="1725"/>
      <c r="F60" s="1450">
        <f>IF(DAY(Juil_Dim1)=1,IF(AND(YEAR(Juil_Dim1+3)=Année_Calendaire,MONTH(Juil_Dim1+3)=7),Juil_Dim1+3,""),IF(AND(YEAR(Juil_Dim1+10)=Année_Calendaire,MONTH(Juil_Dim1+10)=7),Juil_Dim1+10,""))</f>
        <v>44384</v>
      </c>
      <c r="G60" s="1725"/>
      <c r="H60" s="1450">
        <f>IF(DAY(Juil_Dim1)=1,IF(AND(YEAR(Juil_Dim1+4)=Année_Calendaire,MONTH(Juil_Dim1+4)=7),Juil_Dim1+4,""),IF(AND(YEAR(Juil_Dim1+11)=Année_Calendaire,MONTH(Juil_Dim1+11)=7),Juil_Dim1+11,""))</f>
        <v>44385</v>
      </c>
      <c r="I60" s="1725"/>
      <c r="J60" s="1450">
        <f>IF(DAY(Juil_Dim1)=1,IF(AND(YEAR(Juil_Dim1+5)=Année_Calendaire,MONTH(Juil_Dim1+5)=7),Juil_Dim1+5,""),IF(AND(YEAR(Juil_Dim1+12)=Année_Calendaire,MONTH(Juil_Dim1+12)=7),Juil_Dim1+12,""))</f>
        <v>44386</v>
      </c>
      <c r="K60" s="1725"/>
      <c r="L60" s="1443">
        <f>IF(DAY(Juil_Dim1)=1,IF(AND(YEAR(Juil_Dim1+6)=Année_Calendaire,MONTH(Juil_Dim1+6)=7),Juil_Dim1+6,""),IF(AND(YEAR(Juil_Dim1+13)=Année_Calendaire,MONTH(Juil_Dim1+13)=7),Juil_Dim1+13,""))</f>
        <v>44387</v>
      </c>
      <c r="M60" s="1725"/>
      <c r="N60" s="1440">
        <f>IF(DAY(Juil_Dim1)=1,IF(AND(YEAR(Juil_Dim1+7)=Année_Calendaire,MONTH(Juil_Dim1+7)=7),Juil_Dim1+7,""),IF(AND(YEAR(Juil_Dim1+14)=Année_Calendaire,MONTH(Juil_Dim1+14)=7),Juil_Dim1+14,""))</f>
        <v>44388</v>
      </c>
      <c r="O60" s="1725"/>
      <c r="P60" s="1329">
        <f>C60+E60+G60+I60+K60+M60+O60</f>
        <v>0</v>
      </c>
      <c r="Q60" s="389"/>
      <c r="R60" s="389"/>
      <c r="S60" s="389"/>
      <c r="T60" s="389"/>
      <c r="U60" s="389"/>
      <c r="V60" s="389"/>
      <c r="W60" s="389"/>
      <c r="X60" s="389"/>
      <c r="Y60" s="389"/>
      <c r="Z60" s="389"/>
      <c r="AC60"/>
      <c r="AD60"/>
      <c r="AE60"/>
      <c r="AF60"/>
      <c r="AG60"/>
      <c r="AH60"/>
    </row>
    <row r="61" spans="1:34" s="357" customFormat="1" ht="15" customHeight="1" x14ac:dyDescent="0.25">
      <c r="A61" s="377"/>
      <c r="B61" s="1447">
        <f>IF(DAY(Juil_Dim1)=1,IF(AND(YEAR(Juil_Dim1+8)=Année_Calendaire,MONTH(Juil_Dim1+8)=7),Juil_Dim1+8,""),IF(AND(YEAR(Juil_Dim1+15)=Année_Calendaire,MONTH(Juil_Dim1+15)=7),Juil_Dim1+15,""))</f>
        <v>44389</v>
      </c>
      <c r="C61" s="1725"/>
      <c r="D61" s="1451">
        <f>IF(DAY(Juil_Dim1)=1,IF(AND(YEAR(Juil_Dim1+9)=Année_Calendaire,MONTH(Juil_Dim1+9)=7),Juil_Dim1+9,""),IF(AND(YEAR(Juil_Dim1+16)=Année_Calendaire,MONTH(Juil_Dim1+16)=7),Juil_Dim1+16,""))</f>
        <v>44390</v>
      </c>
      <c r="E61" s="1725"/>
      <c r="F61" s="1451">
        <f>IF(DAY(Juil_Dim1)=1,IF(AND(YEAR(Juil_Dim1+10)=Année_Calendaire,MONTH(Juil_Dim1+10)=7),Juil_Dim1+10,""),IF(AND(YEAR(Juil_Dim1+17)=Année_Calendaire,MONTH(Juil_Dim1+17)=7),Juil_Dim1+17,""))</f>
        <v>44391</v>
      </c>
      <c r="G61" s="1725"/>
      <c r="H61" s="1451">
        <f>IF(DAY(Juil_Dim1)=1,IF(AND(YEAR(Juil_Dim1+11)=Année_Calendaire,MONTH(Juil_Dim1+11)=7),Juil_Dim1+11,""),IF(AND(YEAR(Juil_Dim1+18)=Année_Calendaire,MONTH(Juil_Dim1+18)=7),Juil_Dim1+18,""))</f>
        <v>44392</v>
      </c>
      <c r="I61" s="1725"/>
      <c r="J61" s="1451">
        <f>IF(DAY(Juil_Dim1)=1,IF(AND(YEAR(Juil_Dim1+12)=Année_Calendaire,MONTH(Juil_Dim1+12)=7),Juil_Dim1+12,""),IF(AND(YEAR(Juil_Dim1+19)=Année_Calendaire,MONTH(Juil_Dim1+19)=7),Juil_Dim1+19,""))</f>
        <v>44393</v>
      </c>
      <c r="K61" s="1725"/>
      <c r="L61" s="1444">
        <f>IF(DAY(Juil_Dim1)=1,IF(AND(YEAR(Juil_Dim1+13)=Année_Calendaire,MONTH(Juil_Dim1+13)=7),Juil_Dim1+13,""),IF(AND(YEAR(Juil_Dim1+20)=Année_Calendaire,MONTH(Juil_Dim1+20)=7),Juil_Dim1+20,""))</f>
        <v>44394</v>
      </c>
      <c r="M61" s="1725"/>
      <c r="N61" s="1441">
        <f>IF(DAY(Juil_Dim1)=1,IF(AND(YEAR(Juil_Dim1+14)=Année_Calendaire,MONTH(Juil_Dim1+14)=7),Juil_Dim1+14,""),IF(AND(YEAR(Juil_Dim1+21)=Année_Calendaire,MONTH(Juil_Dim1+21)=7),Juil_Dim1+21,""))</f>
        <v>44395</v>
      </c>
      <c r="O61" s="1725"/>
      <c r="P61" s="1329">
        <f>C61+E61+G61+I61+K61+M61+O61</f>
        <v>0</v>
      </c>
      <c r="Q61" s="389"/>
      <c r="R61" s="389"/>
      <c r="S61" s="389"/>
      <c r="T61" s="389"/>
      <c r="U61" s="389"/>
      <c r="V61" s="389"/>
      <c r="W61" s="389"/>
      <c r="X61" s="389"/>
      <c r="Y61" s="389"/>
      <c r="Z61" s="389"/>
      <c r="AC61"/>
      <c r="AD61"/>
      <c r="AE61"/>
      <c r="AF61"/>
      <c r="AG61"/>
      <c r="AH61"/>
    </row>
    <row r="62" spans="1:34" s="357" customFormat="1" ht="15" customHeight="1" x14ac:dyDescent="0.25">
      <c r="A62" s="377"/>
      <c r="B62" s="1446">
        <f>IF(DAY(Juil_Dim1)=1,IF(AND(YEAR(Juil_Dim1+15)=Année_Calendaire,MONTH(Juil_Dim1+15)=7),Juil_Dim1+15,""),IF(AND(YEAR(Juil_Dim1+22)=Année_Calendaire,MONTH(Juil_Dim1+22)=7),Juil_Dim1+22,""))</f>
        <v>44396</v>
      </c>
      <c r="C62" s="1725"/>
      <c r="D62" s="1450">
        <f>IF(DAY(Juil_Dim1)=1,IF(AND(YEAR(Juil_Dim1+16)=Année_Calendaire,MONTH(Juil_Dim1+16)=7),Juil_Dim1+16,""),IF(AND(YEAR(Juil_Dim1+23)=Année_Calendaire,MONTH(Juil_Dim1+23)=7),Juil_Dim1+23,""))</f>
        <v>44397</v>
      </c>
      <c r="E62" s="1725"/>
      <c r="F62" s="1450">
        <f>IF(DAY(Juil_Dim1)=1,IF(AND(YEAR(Juil_Dim1+17)=Année_Calendaire,MONTH(Juil_Dim1+17)=7),Juil_Dim1+17,""),IF(AND(YEAR(Juil_Dim1+24)=Année_Calendaire,MONTH(Juil_Dim1+24)=7),Juil_Dim1+24,""))</f>
        <v>44398</v>
      </c>
      <c r="G62" s="1725"/>
      <c r="H62" s="1450">
        <f>IF(DAY(Juil_Dim1)=1,IF(AND(YEAR(Juil_Dim1+18)=Année_Calendaire,MONTH(Juil_Dim1+18)=7),Juil_Dim1+18,""),IF(AND(YEAR(Juil_Dim1+25)=Année_Calendaire,MONTH(Juil_Dim1+25)=7),Juil_Dim1+25,""))</f>
        <v>44399</v>
      </c>
      <c r="I62" s="1725"/>
      <c r="J62" s="1450">
        <f>IF(DAY(Juil_Dim1)=1,IF(AND(YEAR(Juil_Dim1+19)=Année_Calendaire,MONTH(Juil_Dim1+19)=7),Juil_Dim1+19,""),IF(AND(YEAR(Juil_Dim1+26)=Année_Calendaire,MONTH(Juil_Dim1+26)=7),Juil_Dim1+26,""))</f>
        <v>44400</v>
      </c>
      <c r="K62" s="1725"/>
      <c r="L62" s="1443">
        <f>IF(DAY(Juil_Dim1)=1,IF(AND(YEAR(Juil_Dim1+20)=Année_Calendaire,MONTH(Juil_Dim1+20)=7),Juil_Dim1+20,""),IF(AND(YEAR(Juil_Dim1+27)=Année_Calendaire,MONTH(Juil_Dim1+27)=7),Juil_Dim1+27,""))</f>
        <v>44401</v>
      </c>
      <c r="M62" s="1725"/>
      <c r="N62" s="1440">
        <f>IF(DAY(Juil_Dim1)=1,IF(AND(YEAR(Juil_Dim1+21)=Année_Calendaire,MONTH(Juil_Dim1+21)=7),Juil_Dim1+21,""),IF(AND(YEAR(Juil_Dim1+28)=Année_Calendaire,MONTH(Juil_Dim1+28)=7),Juil_Dim1+28,""))</f>
        <v>44402</v>
      </c>
      <c r="O62" s="1725"/>
      <c r="P62" s="1329">
        <f>C62+E62+G62+I62+K62+M62+O62</f>
        <v>0</v>
      </c>
      <c r="Q62" s="389"/>
      <c r="R62" s="389"/>
      <c r="S62" s="389"/>
      <c r="T62" s="389"/>
      <c r="U62" s="389"/>
      <c r="V62" s="389"/>
      <c r="W62" s="389"/>
      <c r="X62" s="389"/>
      <c r="Y62" s="389"/>
      <c r="Z62" s="389"/>
      <c r="AC62"/>
      <c r="AD62"/>
      <c r="AE62"/>
      <c r="AF62"/>
      <c r="AG62"/>
      <c r="AH62"/>
    </row>
    <row r="63" spans="1:34" s="357" customFormat="1" ht="15" customHeight="1" thickBot="1" x14ac:dyDescent="0.3">
      <c r="A63" s="377"/>
      <c r="B63" s="1447">
        <f>IF(DAY(Juil_Dim1)=1,IF(AND(YEAR(Juil_Dim1+22)=Année_Calendaire,MONTH(Juil_Dim1+22)=7),Juil_Dim1+22,""),IF(AND(YEAR(Juil_Dim1+29)=Année_Calendaire,MONTH(Juil_Dim1+29)=7),Juil_Dim1+29,""))</f>
        <v>44403</v>
      </c>
      <c r="C63" s="1725"/>
      <c r="D63" s="1451">
        <f>IF(DAY(Juil_Dim1)=1,IF(AND(YEAR(Juil_Dim1+23)=Année_Calendaire,MONTH(Juil_Dim1+23)=7),Juil_Dim1+23,""),IF(AND(YEAR(Juil_Dim1+30)=Année_Calendaire,MONTH(Juil_Dim1+30)=7),Juil_Dim1+30,""))</f>
        <v>44404</v>
      </c>
      <c r="E63" s="1725"/>
      <c r="F63" s="1451">
        <f>IF(DAY(Juil_Dim1)=1,IF(AND(YEAR(Juil_Dim1+24)=Année_Calendaire,MONTH(Juil_Dim1+24)=7),Juil_Dim1+24,""),IF(AND(YEAR(Juil_Dim1+31)=Année_Calendaire,MONTH(Juil_Dim1+31)=7),Juil_Dim1+31,""))</f>
        <v>44405</v>
      </c>
      <c r="G63" s="1726"/>
      <c r="H63" s="1451">
        <f>IF(DAY(Juil_Dim1)=1,IF(AND(YEAR(Juil_Dim1+25)=Année_Calendaire,MONTH(Juil_Dim1+25)=7),Juil_Dim1+25,""),IF(AND(YEAR(Juil_Dim1+32)=Année_Calendaire,MONTH(Juil_Dim1+32)=7),Juil_Dim1+32,""))</f>
        <v>44406</v>
      </c>
      <c r="I63" s="1726"/>
      <c r="J63" s="1451">
        <f>IF(DAY(Juil_Dim1)=1,IF(AND(YEAR(Juil_Dim1+26)=Année_Calendaire,MONTH(Juil_Dim1+26)=7),Juil_Dim1+26,""),IF(AND(YEAR(Juil_Dim1+33)=Année_Calendaire,MONTH(Juil_Dim1+33)=7),Juil_Dim1+33,""))</f>
        <v>44407</v>
      </c>
      <c r="K63" s="1726"/>
      <c r="L63" s="1444">
        <f>IF(DAY(Juil_Dim1)=1,IF(AND(YEAR(Juil_Dim1+27)=Année_Calendaire,MONTH(Juil_Dim1+27)=7),Juil_Dim1+27,""),IF(AND(YEAR(Juil_Dim1+34)=Année_Calendaire,MONTH(Juil_Dim1+34)=7),Juil_Dim1+34,""))</f>
        <v>44408</v>
      </c>
      <c r="M63" s="1726"/>
      <c r="N63" s="1441" t="str">
        <f>IF(DAY(Juil_Dim1)=1,IF(AND(YEAR(Juil_Dim1+28)=Année_Calendaire,MONTH(Juil_Dim1+28)=7),Juil_Dim1+28,""),IF(AND(YEAR(Juil_Dim1+35)=Année_Calendaire,MONTH(Juil_Dim1+35)=7),Juil_Dim1+35,""))</f>
        <v/>
      </c>
      <c r="O63" s="1726"/>
      <c r="P63" s="1329">
        <f>C63+E63+G63+I63+K63+M63+O63</f>
        <v>0</v>
      </c>
      <c r="Q63" s="389"/>
      <c r="R63" s="389"/>
      <c r="S63" s="389"/>
      <c r="T63" s="389"/>
      <c r="U63" s="389"/>
      <c r="V63" s="389"/>
      <c r="W63" s="389"/>
      <c r="X63" s="389"/>
      <c r="Y63" s="389"/>
      <c r="Z63" s="389"/>
      <c r="AC63"/>
      <c r="AD63"/>
      <c r="AE63"/>
      <c r="AF63"/>
      <c r="AG63"/>
      <c r="AH63"/>
    </row>
    <row r="64" spans="1:34" s="357" customFormat="1" ht="15" customHeight="1" thickTop="1" thickBot="1" x14ac:dyDescent="0.3">
      <c r="A64" s="377"/>
      <c r="B64" s="1448" t="str">
        <f>IF(DAY(Juil_Dim1)=1,IF(AND(YEAR(Juil_Dim1+29)=Année_Calendaire,MONTH(Juil_Dim1+29)=7),Juil_Dim1+29,""),IF(AND(YEAR(Juil_Dim1+36)=Année_Calendaire,MONTH(Juil_Dim1+36)=7),Juil_Dim1+36,""))</f>
        <v/>
      </c>
      <c r="C64" s="1726"/>
      <c r="D64" s="1452" t="str">
        <f>IF(DAY(Juil_Dim1)=1,IF(AND(YEAR(Juil_Dim1+30)=Année_Calendaire,MONTH(Juil_Dim1+30)=7),Juil_Dim1+30,""),IF(AND(YEAR(Juil_Dim1+37)=Année_Calendaire,MONTH(Juil_Dim1+37)=7),Juil_Dim1+37,""))</f>
        <v/>
      </c>
      <c r="E64" s="1726"/>
      <c r="F64" s="373"/>
      <c r="G64" s="374"/>
      <c r="H64" s="375" t="s">
        <v>749</v>
      </c>
      <c r="I64" s="1585">
        <f>SUM(B65:O65)</f>
        <v>0</v>
      </c>
      <c r="J64" s="1585"/>
      <c r="K64" s="375">
        <f>COUNTA(C59:C64,E59:E64,G59:G63,I59:I63,K59:K63,M59:M63,O59:O63)</f>
        <v>0</v>
      </c>
      <c r="L64" s="374" t="s">
        <v>750</v>
      </c>
      <c r="M64" s="374"/>
      <c r="N64" s="375" t="s">
        <v>751</v>
      </c>
      <c r="O64" s="376" t="e">
        <f>I64/K64</f>
        <v>#DIV/0!</v>
      </c>
      <c r="P64" s="1330">
        <f>C64+E64</f>
        <v>0</v>
      </c>
      <c r="Q64" s="389"/>
      <c r="R64" s="389"/>
      <c r="S64" s="389"/>
      <c r="T64" s="389"/>
      <c r="U64" s="389"/>
      <c r="V64" s="389"/>
      <c r="W64" s="389"/>
      <c r="X64" s="389"/>
      <c r="Y64" s="389"/>
      <c r="Z64" s="389"/>
      <c r="AC64"/>
      <c r="AD64"/>
      <c r="AE64"/>
      <c r="AF64"/>
      <c r="AG64"/>
      <c r="AH64"/>
    </row>
    <row r="65" spans="1:34" s="357" customFormat="1" ht="15" customHeight="1" thickTop="1" thickBot="1" x14ac:dyDescent="0.3">
      <c r="A65" s="377"/>
      <c r="B65" s="1331"/>
      <c r="C65" s="1332">
        <f>SUM(C59:C64)</f>
        <v>0</v>
      </c>
      <c r="D65" s="1333"/>
      <c r="E65" s="1334">
        <f>SUM(E59:E64)</f>
        <v>0</v>
      </c>
      <c r="F65" s="1333"/>
      <c r="G65" s="1334">
        <f>SUM(G59:G63)</f>
        <v>0</v>
      </c>
      <c r="H65" s="1333"/>
      <c r="I65" s="1334">
        <f>SUM(I59:I63)</f>
        <v>0</v>
      </c>
      <c r="J65" s="1333"/>
      <c r="K65" s="1334">
        <f>SUM(K59:K63)</f>
        <v>0</v>
      </c>
      <c r="L65" s="1333"/>
      <c r="M65" s="1334">
        <f>SUM(M59:M63)</f>
        <v>0</v>
      </c>
      <c r="N65" s="1333"/>
      <c r="O65" s="1334">
        <f>SUM(O59:O63)</f>
        <v>0</v>
      </c>
      <c r="P65" s="1335"/>
      <c r="Q65" s="389"/>
      <c r="R65" s="389"/>
      <c r="S65" s="389"/>
      <c r="T65" s="389"/>
      <c r="U65" s="389"/>
      <c r="V65" s="389"/>
      <c r="W65" s="389"/>
      <c r="X65" s="389"/>
      <c r="Y65" s="389"/>
      <c r="Z65" s="389"/>
      <c r="AC65"/>
      <c r="AD65"/>
      <c r="AE65"/>
      <c r="AF65"/>
      <c r="AG65"/>
      <c r="AH65"/>
    </row>
    <row r="66" spans="1:34" ht="30" customHeight="1" x14ac:dyDescent="0.25">
      <c r="A66" s="371"/>
      <c r="B66" s="1590">
        <f>D70</f>
        <v>44418</v>
      </c>
      <c r="C66" s="1591"/>
      <c r="D66" s="1591"/>
      <c r="E66" s="1591"/>
      <c r="F66" s="1591"/>
      <c r="G66" s="1591"/>
      <c r="H66" s="1591"/>
      <c r="I66" s="1591"/>
      <c r="J66" s="1591"/>
      <c r="K66" s="1591"/>
      <c r="L66" s="1591"/>
      <c r="M66" s="1591"/>
      <c r="N66" s="1591"/>
      <c r="O66" s="1591"/>
      <c r="P66" s="1592"/>
      <c r="Q66" s="386"/>
      <c r="R66" s="386"/>
      <c r="S66" s="386"/>
      <c r="T66" s="386"/>
      <c r="U66" s="386"/>
      <c r="V66" s="386"/>
      <c r="W66" s="386"/>
      <c r="X66" s="386"/>
      <c r="Y66" s="386"/>
      <c r="Z66" s="386"/>
    </row>
    <row r="67" spans="1:34" s="377" customFormat="1" ht="29.25" customHeight="1" x14ac:dyDescent="0.25">
      <c r="B67" s="1586" t="s">
        <v>752</v>
      </c>
      <c r="C67" s="1587"/>
      <c r="D67" s="1587" t="s">
        <v>753</v>
      </c>
      <c r="E67" s="1587"/>
      <c r="F67" s="1587" t="s">
        <v>754</v>
      </c>
      <c r="G67" s="1587"/>
      <c r="H67" s="1587" t="s">
        <v>755</v>
      </c>
      <c r="I67" s="1587"/>
      <c r="J67" s="1587" t="s">
        <v>756</v>
      </c>
      <c r="K67" s="1587"/>
      <c r="L67" s="1588" t="s">
        <v>757</v>
      </c>
      <c r="M67" s="1588"/>
      <c r="N67" s="1589" t="s">
        <v>758</v>
      </c>
      <c r="O67" s="1589"/>
      <c r="P67" s="1327" t="s">
        <v>759</v>
      </c>
      <c r="Q67" s="389"/>
      <c r="R67" s="388"/>
      <c r="S67" s="388"/>
      <c r="T67" s="388"/>
      <c r="U67" s="388"/>
      <c r="V67" s="388"/>
      <c r="W67" s="388"/>
      <c r="X67" s="388"/>
      <c r="Y67" s="388"/>
      <c r="Z67" s="388"/>
      <c r="AC67"/>
      <c r="AD67"/>
      <c r="AE67"/>
      <c r="AF67"/>
      <c r="AG67"/>
      <c r="AH67"/>
    </row>
    <row r="68" spans="1:34" s="377" customFormat="1" ht="15" customHeight="1" x14ac:dyDescent="0.25">
      <c r="B68" s="1445" t="str">
        <f>IF(DAY(Aoû_Dim1)=1,"",IF(AND(YEAR(Aoû_Dim1+1)=Année_Calendaire,MONTH(Aoû_Dim1+1)=8),Aoû_Dim1+1,""))</f>
        <v/>
      </c>
      <c r="C68" s="1724"/>
      <c r="D68" s="1449" t="str">
        <f>IF(DAY(Aoû_Dim1)=1,"",IF(AND(YEAR(Aoû_Dim1+2)=Année_Calendaire,MONTH(Aoû_Dim1+2)=8),Aoû_Dim1+2,""))</f>
        <v/>
      </c>
      <c r="E68" s="1724"/>
      <c r="F68" s="1449" t="str">
        <f>IF(DAY(Aoû_Dim1)=1,"",IF(AND(YEAR(Aoû_Dim1+3)=Année_Calendaire,MONTH(Aoû_Dim1+3)=8),Aoû_Dim1+3,""))</f>
        <v/>
      </c>
      <c r="G68" s="1724"/>
      <c r="H68" s="1449" t="str">
        <f>IF(DAY(Aoû_Dim1)=1,"",IF(AND(YEAR(Aoû_Dim1+4)=Année_Calendaire,MONTH(Aoû_Dim1+4)=8),Aoû_Dim1+4,""))</f>
        <v/>
      </c>
      <c r="I68" s="1724"/>
      <c r="J68" s="1449" t="str">
        <f>IF(DAY(Aoû_Dim1)=1,"",IF(AND(YEAR(Aoû_Dim1+5)=Année_Calendaire,MONTH(Aoû_Dim1+5)=8),Aoû_Dim1+5,""))</f>
        <v/>
      </c>
      <c r="K68" s="1724"/>
      <c r="L68" s="1442" t="str">
        <f>IF(DAY(Aoû_Dim1)=1,"",IF(AND(YEAR(Aoû_Dim1+6)=Année_Calendaire,MONTH(Aoû_Dim1+6)=8),Aoû_Dim1+6,""))</f>
        <v/>
      </c>
      <c r="M68" s="1724"/>
      <c r="N68" s="1439">
        <f>IF(DAY(Aoû_Dim1)=1,IF(AND(YEAR(Aoû_Dim1)=Année_Calendaire,MONTH(Aoû_Dim1)=8),Aoû_Dim1,""),IF(AND(YEAR(Aoû_Dim1+7)=Année_Calendaire,MONTH(Aoû_Dim1+7)=8),Aoû_Dim1+7,""))</f>
        <v>44409</v>
      </c>
      <c r="O68" s="1724"/>
      <c r="P68" s="1328">
        <f>C68+E68+G68+I68+K68+M68+O68</f>
        <v>0</v>
      </c>
      <c r="Q68" s="388"/>
      <c r="R68" s="388"/>
      <c r="S68" s="388"/>
      <c r="T68" s="388"/>
      <c r="U68" s="388"/>
      <c r="V68" s="388"/>
      <c r="W68" s="388"/>
      <c r="X68" s="388"/>
      <c r="Y68" s="388"/>
      <c r="Z68" s="388"/>
      <c r="AC68"/>
      <c r="AD68"/>
      <c r="AE68"/>
      <c r="AF68"/>
      <c r="AG68"/>
      <c r="AH68"/>
    </row>
    <row r="69" spans="1:34" s="357" customFormat="1" ht="15" customHeight="1" x14ac:dyDescent="0.25">
      <c r="A69" s="377"/>
      <c r="B69" s="1446">
        <f>IF(DAY(Aoû_Dim1)=1,IF(AND(YEAR(Aoû_Dim1+1)=Année_Calendaire,MONTH(Aoû_Dim1+1)=8),Aoû_Dim1+1,""),IF(AND(YEAR(Aoû_Dim1+8)=Année_Calendaire,MONTH(Aoû_Dim1+8)=8),Aoû_Dim1+8,""))</f>
        <v>44410</v>
      </c>
      <c r="C69" s="1725"/>
      <c r="D69" s="1450">
        <f>IF(DAY(Aoû_Dim1)=1,IF(AND(YEAR(Aoû_Dim1+2)=Année_Calendaire,MONTH(Aoû_Dim1+2)=8),Aoû_Dim1+2,""),IF(AND(YEAR(Aoû_Dim1+9)=Année_Calendaire,MONTH(Aoû_Dim1+9)=8),Aoû_Dim1+9,""))</f>
        <v>44411</v>
      </c>
      <c r="E69" s="1725"/>
      <c r="F69" s="1450">
        <f>IF(DAY(Aoû_Dim1)=1,IF(AND(YEAR(Aoû_Dim1+3)=Année_Calendaire,MONTH(Aoû_Dim1+3)=8),Aoû_Dim1+3,""),IF(AND(YEAR(Aoû_Dim1+10)=Année_Calendaire,MONTH(Aoû_Dim1+10)=8),Aoû_Dim1+10,""))</f>
        <v>44412</v>
      </c>
      <c r="G69" s="1725"/>
      <c r="H69" s="1450">
        <f>IF(DAY(Aoû_Dim1)=1,IF(AND(YEAR(Aoû_Dim1+4)=Année_Calendaire,MONTH(Aoû_Dim1+4)=8),Aoû_Dim1+4,""),IF(AND(YEAR(Aoû_Dim1+11)=Année_Calendaire,MONTH(Aoû_Dim1+11)=8),Aoû_Dim1+11,""))</f>
        <v>44413</v>
      </c>
      <c r="I69" s="1725"/>
      <c r="J69" s="1450">
        <f>IF(DAY(Aoû_Dim1)=1,IF(AND(YEAR(Aoû_Dim1+5)=Année_Calendaire,MONTH(Aoû_Dim1+5)=8),Aoû_Dim1+5,""),IF(AND(YEAR(Aoû_Dim1+12)=Année_Calendaire,MONTH(Aoû_Dim1+12)=8),Aoû_Dim1+12,""))</f>
        <v>44414</v>
      </c>
      <c r="K69" s="1725"/>
      <c r="L69" s="1443">
        <f>IF(DAY(Aoû_Dim1)=1,IF(AND(YEAR(Aoû_Dim1+6)=Année_Calendaire,MONTH(Aoû_Dim1+6)=8),Aoû_Dim1+6,""),IF(AND(YEAR(Aoû_Dim1+13)=Année_Calendaire,MONTH(Aoû_Dim1+13)=8),Aoû_Dim1+13,""))</f>
        <v>44415</v>
      </c>
      <c r="M69" s="1725"/>
      <c r="N69" s="1440">
        <f>IF(DAY(Aoû_Dim1)=1,IF(AND(YEAR(Aoû_Dim1+7)=Année_Calendaire,MONTH(Aoû_Dim1+7)=8),Aoû_Dim1+7,""),IF(AND(YEAR(Aoû_Dim1+14)=Année_Calendaire,MONTH(Aoû_Dim1+14)=8),Aoû_Dim1+14,""))</f>
        <v>44416</v>
      </c>
      <c r="O69" s="1725"/>
      <c r="P69" s="1329">
        <f>C69+E69+G69+I69+K69+M69+O69</f>
        <v>0</v>
      </c>
      <c r="Q69" s="389"/>
      <c r="R69" s="389"/>
      <c r="S69" s="389"/>
      <c r="T69" s="389"/>
      <c r="U69" s="389"/>
      <c r="V69" s="389"/>
      <c r="W69" s="389"/>
      <c r="X69" s="389"/>
      <c r="Y69" s="389"/>
      <c r="Z69" s="389"/>
      <c r="AC69"/>
      <c r="AD69"/>
      <c r="AE69"/>
      <c r="AF69"/>
      <c r="AG69"/>
      <c r="AH69"/>
    </row>
    <row r="70" spans="1:34" s="357" customFormat="1" ht="15" customHeight="1" x14ac:dyDescent="0.25">
      <c r="A70" s="377"/>
      <c r="B70" s="1447">
        <f>IF(DAY(Aoû_Dim1)=1,IF(AND(YEAR(Aoû_Dim1+8)=Année_Calendaire,MONTH(Aoû_Dim1+8)=8),Aoû_Dim1+8,""),IF(AND(YEAR(Aoû_Dim1+15)=Année_Calendaire,MONTH(Aoû_Dim1+15)=8),Aoû_Dim1+15,""))</f>
        <v>44417</v>
      </c>
      <c r="C70" s="1725"/>
      <c r="D70" s="1451">
        <f>IF(DAY(Aoû_Dim1)=1,IF(AND(YEAR(Aoû_Dim1+9)=Année_Calendaire,MONTH(Aoû_Dim1+9)=8),Aoû_Dim1+9,""),IF(AND(YEAR(Aoû_Dim1+16)=Année_Calendaire,MONTH(Aoû_Dim1+16)=8),Aoû_Dim1+16,""))</f>
        <v>44418</v>
      </c>
      <c r="E70" s="1725"/>
      <c r="F70" s="1451">
        <f>IF(DAY(Aoû_Dim1)=1,IF(AND(YEAR(Aoû_Dim1+10)=Année_Calendaire,MONTH(Aoû_Dim1+10)=8),Aoû_Dim1+10,""),IF(AND(YEAR(Aoû_Dim1+17)=Année_Calendaire,MONTH(Aoû_Dim1+17)=8),Aoû_Dim1+17,""))</f>
        <v>44419</v>
      </c>
      <c r="G70" s="1725"/>
      <c r="H70" s="1451">
        <f>IF(DAY(Aoû_Dim1)=1,IF(AND(YEAR(Aoû_Dim1+11)=Année_Calendaire,MONTH(Aoû_Dim1+11)=8),Aoû_Dim1+11,""),IF(AND(YEAR(Aoû_Dim1+18)=Année_Calendaire,MONTH(Aoû_Dim1+18)=8),Aoû_Dim1+18,""))</f>
        <v>44420</v>
      </c>
      <c r="I70" s="1725"/>
      <c r="J70" s="1451">
        <f>IF(DAY(Aoû_Dim1)=1,IF(AND(YEAR(Aoû_Dim1+12)=Année_Calendaire,MONTH(Aoû_Dim1+12)=8),Aoû_Dim1+12,""),IF(AND(YEAR(Aoû_Dim1+19)=Année_Calendaire,MONTH(Aoû_Dim1+19)=8),Aoû_Dim1+19,""))</f>
        <v>44421</v>
      </c>
      <c r="K70" s="1725"/>
      <c r="L70" s="1444">
        <f>IF(DAY(Aoû_Dim1)=1,IF(AND(YEAR(Aoû_Dim1+13)=Année_Calendaire,MONTH(Aoû_Dim1+13)=8),Aoû_Dim1+13,""),IF(AND(YEAR(Aoû_Dim1+20)=Année_Calendaire,MONTH(Aoû_Dim1+20)=8),Aoû_Dim1+20,""))</f>
        <v>44422</v>
      </c>
      <c r="M70" s="1725"/>
      <c r="N70" s="1441">
        <f>IF(DAY(Aoû_Dim1)=1,IF(AND(YEAR(Aoû_Dim1+14)=Année_Calendaire,MONTH(Aoû_Dim1+14)=8),Aoû_Dim1+14,""),IF(AND(YEAR(Aoû_Dim1+21)=Année_Calendaire,MONTH(Aoû_Dim1+21)=8),Aoû_Dim1+21,""))</f>
        <v>44423</v>
      </c>
      <c r="O70" s="1725"/>
      <c r="P70" s="1329">
        <f>C70+E70+G70+I70+K70+M70+O70</f>
        <v>0</v>
      </c>
      <c r="Q70" s="389"/>
      <c r="R70" s="389"/>
      <c r="S70" s="389"/>
      <c r="T70" s="389"/>
      <c r="U70" s="389"/>
      <c r="V70" s="389"/>
      <c r="W70" s="389"/>
      <c r="X70" s="389"/>
      <c r="Y70" s="389"/>
      <c r="Z70" s="389"/>
      <c r="AC70"/>
      <c r="AD70"/>
      <c r="AE70"/>
      <c r="AF70"/>
      <c r="AG70"/>
      <c r="AH70"/>
    </row>
    <row r="71" spans="1:34" s="357" customFormat="1" ht="15" customHeight="1" x14ac:dyDescent="0.25">
      <c r="A71" s="377"/>
      <c r="B71" s="1446">
        <f>IF(DAY(Aoû_Dim1)=1,IF(AND(YEAR(Aoû_Dim1+15)=Année_Calendaire,MONTH(Aoû_Dim1+15)=8),Aoû_Dim1+15,""),IF(AND(YEAR(Aoû_Dim1+22)=Année_Calendaire,MONTH(Aoû_Dim1+22)=8),Aoû_Dim1+22,""))</f>
        <v>44424</v>
      </c>
      <c r="C71" s="1725"/>
      <c r="D71" s="1450">
        <f>IF(DAY(Aoû_Dim1)=1,IF(AND(YEAR(Aoû_Dim1+16)=Année_Calendaire,MONTH(Aoû_Dim1+16)=8),Aoû_Dim1+16,""),IF(AND(YEAR(Aoû_Dim1+23)=Année_Calendaire,MONTH(Aoû_Dim1+23)=8),Aoû_Dim1+23,""))</f>
        <v>44425</v>
      </c>
      <c r="E71" s="1725"/>
      <c r="F71" s="1450">
        <f>IF(DAY(Aoû_Dim1)=1,IF(AND(YEAR(Aoû_Dim1+17)=Année_Calendaire,MONTH(Aoû_Dim1+17)=8),Aoû_Dim1+17,""),IF(AND(YEAR(Aoû_Dim1+24)=Année_Calendaire,MONTH(Aoû_Dim1+24)=8),Aoû_Dim1+24,""))</f>
        <v>44426</v>
      </c>
      <c r="G71" s="1725"/>
      <c r="H71" s="1450">
        <f>IF(DAY(Aoû_Dim1)=1,IF(AND(YEAR(Aoû_Dim1+18)=Année_Calendaire,MONTH(Aoû_Dim1+18)=8),Aoû_Dim1+18,""),IF(AND(YEAR(Aoû_Dim1+25)=Année_Calendaire,MONTH(Aoû_Dim1+25)=8),Aoû_Dim1+25,""))</f>
        <v>44427</v>
      </c>
      <c r="I71" s="1725"/>
      <c r="J71" s="1450">
        <f>IF(DAY(Aoû_Dim1)=1,IF(AND(YEAR(Aoû_Dim1+19)=Année_Calendaire,MONTH(Aoû_Dim1+19)=8),Aoû_Dim1+19,""),IF(AND(YEAR(Aoû_Dim1+26)=Année_Calendaire,MONTH(Aoû_Dim1+26)=8),Aoû_Dim1+26,""))</f>
        <v>44428</v>
      </c>
      <c r="K71" s="1725"/>
      <c r="L71" s="1443">
        <f>IF(DAY(Aoû_Dim1)=1,IF(AND(YEAR(Aoû_Dim1+20)=Année_Calendaire,MONTH(Aoû_Dim1+20)=8),Aoû_Dim1+20,""),IF(AND(YEAR(Aoû_Dim1+27)=Année_Calendaire,MONTH(Aoû_Dim1+27)=8),Aoû_Dim1+27,""))</f>
        <v>44429</v>
      </c>
      <c r="M71" s="1725"/>
      <c r="N71" s="1440">
        <f>IF(DAY(Aoû_Dim1)=1,IF(AND(YEAR(Aoû_Dim1+21)=Année_Calendaire,MONTH(Aoû_Dim1+21)=8),Aoû_Dim1+21,""),IF(AND(YEAR(Aoû_Dim1+28)=Année_Calendaire,MONTH(Aoû_Dim1+28)=8),Aoû_Dim1+28,""))</f>
        <v>44430</v>
      </c>
      <c r="O71" s="1725"/>
      <c r="P71" s="1329">
        <f>C71+E71+G71+I71+K71+M71+O71</f>
        <v>0</v>
      </c>
      <c r="Q71" s="389"/>
      <c r="R71" s="389"/>
      <c r="S71" s="389"/>
      <c r="T71" s="389"/>
      <c r="U71" s="389"/>
      <c r="V71" s="389"/>
      <c r="W71" s="389"/>
      <c r="X71" s="389"/>
      <c r="Y71" s="389"/>
      <c r="Z71" s="389"/>
      <c r="AC71"/>
      <c r="AD71"/>
      <c r="AE71"/>
      <c r="AF71"/>
      <c r="AG71"/>
      <c r="AH71"/>
    </row>
    <row r="72" spans="1:34" s="357" customFormat="1" ht="15" customHeight="1" thickBot="1" x14ac:dyDescent="0.3">
      <c r="A72" s="377"/>
      <c r="B72" s="1447">
        <f>IF(DAY(Aoû_Dim1)=1,IF(AND(YEAR(Aoû_Dim1+22)=Année_Calendaire,MONTH(Aoû_Dim1+22)=8),Aoû_Dim1+22,""),IF(AND(YEAR(Aoû_Dim1+29)=Année_Calendaire,MONTH(Aoû_Dim1+29)=8),Aoû_Dim1+29,""))</f>
        <v>44431</v>
      </c>
      <c r="C72" s="1725"/>
      <c r="D72" s="1451">
        <f>IF(DAY(Aoû_Dim1)=1,IF(AND(YEAR(Aoû_Dim1+23)=Année_Calendaire,MONTH(Aoû_Dim1+23)=8),Aoû_Dim1+23,""),IF(AND(YEAR(Aoû_Dim1+30)=Année_Calendaire,MONTH(Aoû_Dim1+30)=8),Aoû_Dim1+30,""))</f>
        <v>44432</v>
      </c>
      <c r="E72" s="1725"/>
      <c r="F72" s="1451">
        <f>IF(DAY(Aoû_Dim1)=1,IF(AND(YEAR(Aoû_Dim1+24)=Année_Calendaire,MONTH(Aoû_Dim1+24)=8),Aoû_Dim1+24,""),IF(AND(YEAR(Aoû_Dim1+31)=Année_Calendaire,MONTH(Aoû_Dim1+31)=8),Aoû_Dim1+31,""))</f>
        <v>44433</v>
      </c>
      <c r="G72" s="1726"/>
      <c r="H72" s="1451">
        <f>IF(DAY(Aoû_Dim1)=1,IF(AND(YEAR(Aoû_Dim1+25)=Année_Calendaire,MONTH(Aoû_Dim1+25)=8),Aoû_Dim1+25,""),IF(AND(YEAR(Aoû_Dim1+32)=Année_Calendaire,MONTH(Aoû_Dim1+32)=8),Aoû_Dim1+32,""))</f>
        <v>44434</v>
      </c>
      <c r="I72" s="1726"/>
      <c r="J72" s="1451">
        <f>IF(DAY(Aoû_Dim1)=1,IF(AND(YEAR(Aoû_Dim1+26)=Année_Calendaire,MONTH(Aoû_Dim1+26)=8),Aoû_Dim1+26,""),IF(AND(YEAR(Aoû_Dim1+33)=Année_Calendaire,MONTH(Aoû_Dim1+33)=8),Aoû_Dim1+33,""))</f>
        <v>44435</v>
      </c>
      <c r="K72" s="1726"/>
      <c r="L72" s="1444">
        <f>IF(DAY(Aoû_Dim1)=1,IF(AND(YEAR(Aoû_Dim1+27)=Année_Calendaire,MONTH(Aoû_Dim1+27)=8),Aoû_Dim1+27,""),IF(AND(YEAR(Aoû_Dim1+34)=Année_Calendaire,MONTH(Aoû_Dim1+34)=8),Aoû_Dim1+34,""))</f>
        <v>44436</v>
      </c>
      <c r="M72" s="1726"/>
      <c r="N72" s="1441">
        <f>IF(DAY(Aoû_Dim1)=1,IF(AND(YEAR(Aoû_Dim1+28)=Année_Calendaire,MONTH(Aoû_Dim1+28)=8),Aoû_Dim1+28,""),IF(AND(YEAR(Aoû_Dim1+35)=Année_Calendaire,MONTH(Aoû_Dim1+35)=8),Aoû_Dim1+35,""))</f>
        <v>44437</v>
      </c>
      <c r="O72" s="1726"/>
      <c r="P72" s="1329">
        <f>C72+E72+G72+I72+K72+M72+O72</f>
        <v>0</v>
      </c>
      <c r="Q72" s="389"/>
      <c r="R72" s="389"/>
      <c r="S72" s="389"/>
      <c r="T72" s="389"/>
      <c r="U72" s="389"/>
      <c r="V72" s="389"/>
      <c r="W72" s="389"/>
      <c r="X72" s="389"/>
      <c r="Y72" s="389"/>
      <c r="Z72" s="389"/>
      <c r="AC72"/>
      <c r="AD72"/>
      <c r="AE72"/>
      <c r="AF72"/>
      <c r="AG72"/>
      <c r="AH72"/>
    </row>
    <row r="73" spans="1:34" s="357" customFormat="1" ht="15" customHeight="1" thickTop="1" thickBot="1" x14ac:dyDescent="0.3">
      <c r="A73" s="377"/>
      <c r="B73" s="1448">
        <f>IF(DAY(Aoû_Dim1)=1,IF(AND(YEAR(Aoû_Dim1+29)=Année_Calendaire,MONTH(Aoû_Dim1+29)=8),Aoû_Dim1+29,""),IF(AND(YEAR(Aoû_Dim1+36)=Année_Calendaire,MONTH(Aoû_Dim1+36)=8),Aoû_Dim1+36,""))</f>
        <v>44438</v>
      </c>
      <c r="C73" s="1726"/>
      <c r="D73" s="1452">
        <f>IF(DAY(Aoû_Dim1)=1,IF(AND(YEAR(Aoû_Dim1+30)=Année_Calendaire,MONTH(Aoû_Dim1+30)=8),Aoû_Dim1+30,""),IF(AND(YEAR(Aoû_Dim1+37)=Année_Calendaire,MONTH(Aoû_Dim1+37)=8),Aoû_Dim1+37,""))</f>
        <v>44439</v>
      </c>
      <c r="E73" s="1726"/>
      <c r="F73" s="373"/>
      <c r="G73" s="374"/>
      <c r="H73" s="375" t="s">
        <v>749</v>
      </c>
      <c r="I73" s="1585">
        <f>SUM(B74:O74)</f>
        <v>0</v>
      </c>
      <c r="J73" s="1585"/>
      <c r="K73" s="375">
        <f>COUNTA(C68:C73,E68:E73,G68:G72,I68:I72,K68:K72,M68:M72,O68:O72)</f>
        <v>0</v>
      </c>
      <c r="L73" s="374" t="s">
        <v>750</v>
      </c>
      <c r="M73" s="374"/>
      <c r="N73" s="375" t="s">
        <v>751</v>
      </c>
      <c r="O73" s="376" t="e">
        <f>I73/K73</f>
        <v>#DIV/0!</v>
      </c>
      <c r="P73" s="1330">
        <f>C73+E73</f>
        <v>0</v>
      </c>
      <c r="Q73" s="389"/>
      <c r="R73" s="389"/>
      <c r="S73" s="389"/>
      <c r="T73" s="389"/>
      <c r="U73" s="389"/>
      <c r="V73" s="389"/>
      <c r="W73" s="389"/>
      <c r="X73" s="389"/>
      <c r="Y73" s="389"/>
      <c r="Z73" s="389"/>
      <c r="AC73"/>
      <c r="AD73"/>
      <c r="AE73"/>
      <c r="AF73"/>
      <c r="AG73"/>
      <c r="AH73"/>
    </row>
    <row r="74" spans="1:34" s="357" customFormat="1" ht="15" customHeight="1" thickTop="1" thickBot="1" x14ac:dyDescent="0.3">
      <c r="A74" s="377"/>
      <c r="B74" s="1331"/>
      <c r="C74" s="1332">
        <f>SUM(C68:C73)</f>
        <v>0</v>
      </c>
      <c r="D74" s="1333"/>
      <c r="E74" s="1334">
        <f>SUM(E68:E73)</f>
        <v>0</v>
      </c>
      <c r="F74" s="1333"/>
      <c r="G74" s="1334">
        <f>SUM(G68:G72)</f>
        <v>0</v>
      </c>
      <c r="H74" s="1333"/>
      <c r="I74" s="1334">
        <f>SUM(I68:I72)</f>
        <v>0</v>
      </c>
      <c r="J74" s="1333"/>
      <c r="K74" s="1334">
        <f>SUM(K68:K72)</f>
        <v>0</v>
      </c>
      <c r="L74" s="1333"/>
      <c r="M74" s="1334">
        <f>SUM(M68:M72)</f>
        <v>0</v>
      </c>
      <c r="N74" s="1333"/>
      <c r="O74" s="1334">
        <f>SUM(O68:O72)</f>
        <v>0</v>
      </c>
      <c r="P74" s="1335"/>
      <c r="Q74" s="389"/>
      <c r="R74" s="389"/>
      <c r="S74" s="389"/>
      <c r="T74" s="389"/>
      <c r="U74" s="389"/>
      <c r="V74" s="389"/>
      <c r="W74" s="389"/>
      <c r="X74" s="389"/>
      <c r="Y74" s="389"/>
      <c r="Z74" s="389"/>
      <c r="AC74"/>
      <c r="AD74"/>
      <c r="AE74"/>
      <c r="AF74"/>
      <c r="AG74"/>
      <c r="AH74"/>
    </row>
    <row r="75" spans="1:34" ht="30" customHeight="1" x14ac:dyDescent="0.25">
      <c r="A75" s="371"/>
      <c r="B75" s="1590">
        <f>D79</f>
        <v>44453</v>
      </c>
      <c r="C75" s="1591"/>
      <c r="D75" s="1591"/>
      <c r="E75" s="1591"/>
      <c r="F75" s="1591"/>
      <c r="G75" s="1591"/>
      <c r="H75" s="1591"/>
      <c r="I75" s="1591"/>
      <c r="J75" s="1591"/>
      <c r="K75" s="1591"/>
      <c r="L75" s="1591"/>
      <c r="M75" s="1591"/>
      <c r="N75" s="1591"/>
      <c r="O75" s="1591"/>
      <c r="P75" s="1592"/>
      <c r="Q75" s="386"/>
      <c r="R75" s="386"/>
      <c r="S75" s="386"/>
      <c r="T75" s="386"/>
      <c r="U75" s="386"/>
      <c r="V75" s="386"/>
      <c r="W75" s="386"/>
      <c r="X75" s="386"/>
      <c r="Y75" s="386"/>
      <c r="Z75" s="386"/>
    </row>
    <row r="76" spans="1:34" s="377" customFormat="1" ht="29.25" customHeight="1" x14ac:dyDescent="0.25">
      <c r="B76" s="1586" t="s">
        <v>752</v>
      </c>
      <c r="C76" s="1587"/>
      <c r="D76" s="1587" t="s">
        <v>753</v>
      </c>
      <c r="E76" s="1587"/>
      <c r="F76" s="1587" t="s">
        <v>754</v>
      </c>
      <c r="G76" s="1587"/>
      <c r="H76" s="1587" t="s">
        <v>755</v>
      </c>
      <c r="I76" s="1587"/>
      <c r="J76" s="1587" t="s">
        <v>756</v>
      </c>
      <c r="K76" s="1587"/>
      <c r="L76" s="1588" t="s">
        <v>757</v>
      </c>
      <c r="M76" s="1588"/>
      <c r="N76" s="1589" t="s">
        <v>758</v>
      </c>
      <c r="O76" s="1589"/>
      <c r="P76" s="1327" t="s">
        <v>759</v>
      </c>
      <c r="Q76" s="389"/>
      <c r="R76" s="388"/>
      <c r="S76" s="388"/>
      <c r="T76" s="388"/>
      <c r="U76" s="388"/>
      <c r="V76" s="388"/>
      <c r="W76" s="388"/>
      <c r="X76" s="388"/>
      <c r="Y76" s="388"/>
      <c r="Z76" s="388"/>
      <c r="AC76"/>
      <c r="AD76"/>
      <c r="AE76"/>
      <c r="AF76"/>
      <c r="AG76"/>
      <c r="AH76"/>
    </row>
    <row r="77" spans="1:34" s="377" customFormat="1" ht="15" customHeight="1" x14ac:dyDescent="0.25">
      <c r="B77" s="1445" t="str">
        <f>IF(DAY(Sep_Dim1)=1,"",IF(AND(YEAR(Sep_Dim1+1)=Année_Calendaire,MONTH(Sep_Dim1+1)=9),Sep_Dim1+1,""))</f>
        <v/>
      </c>
      <c r="C77" s="1724"/>
      <c r="D77" s="1449" t="str">
        <f>IF(DAY(Sep_Dim1)=1,"",IF(AND(YEAR(Sep_Dim1+2)=Année_Calendaire,MONTH(Sep_Dim1+2)=9),Sep_Dim1+2,""))</f>
        <v/>
      </c>
      <c r="E77" s="1724"/>
      <c r="F77" s="1449">
        <f>IF(DAY(Sep_Dim1)=1,"",IF(AND(YEAR(Sep_Dim1+3)=Année_Calendaire,MONTH(Sep_Dim1+3)=9),Sep_Dim1+3,""))</f>
        <v>44440</v>
      </c>
      <c r="G77" s="1724"/>
      <c r="H77" s="1449">
        <f>IF(DAY(Sep_Dim1)=1,"",IF(AND(YEAR(Sep_Dim1+4)=Année_Calendaire,MONTH(Sep_Dim1+4)=9),Sep_Dim1+4,""))</f>
        <v>44441</v>
      </c>
      <c r="I77" s="1724"/>
      <c r="J77" s="1449">
        <f>IF(DAY(Sep_Dim1)=1,"",IF(AND(YEAR(Sep_Dim1+5)=Année_Calendaire,MONTH(Sep_Dim1+5)=9),Sep_Dim1+5,""))</f>
        <v>44442</v>
      </c>
      <c r="K77" s="1724"/>
      <c r="L77" s="1442">
        <f>IF(DAY(Sep_Dim1)=1,"",IF(AND(YEAR(Sep_Dim1+6)=Année_Calendaire,MONTH(Sep_Dim1+6)=9),Sep_Dim1+6,""))</f>
        <v>44443</v>
      </c>
      <c r="M77" s="1724"/>
      <c r="N77" s="1439">
        <f>IF(DAY(Sep_Dim1)=1,IF(AND(YEAR(Sep_Dim1)=Année_Calendaire,MONTH(Sep_Dim1)=9),Sep_Dim1,""),IF(AND(YEAR(Sep_Dim1+7)=Année_Calendaire,MONTH(Sep_Dim1+7)=9),Sep_Dim1+7,""))</f>
        <v>44444</v>
      </c>
      <c r="O77" s="1724"/>
      <c r="P77" s="1328">
        <f>C77+E77+G77+I77+K77+M77+O77</f>
        <v>0</v>
      </c>
      <c r="Q77" s="388"/>
      <c r="R77" s="388"/>
      <c r="S77" s="388"/>
      <c r="T77" s="388"/>
      <c r="U77" s="388"/>
      <c r="V77" s="388"/>
      <c r="W77" s="388"/>
      <c r="X77" s="388"/>
      <c r="Y77" s="388"/>
      <c r="Z77" s="388"/>
      <c r="AC77"/>
      <c r="AD77"/>
      <c r="AE77"/>
      <c r="AF77"/>
      <c r="AG77"/>
      <c r="AH77"/>
    </row>
    <row r="78" spans="1:34" s="357" customFormat="1" ht="15" customHeight="1" x14ac:dyDescent="0.25">
      <c r="A78" s="377"/>
      <c r="B78" s="1446">
        <f>IF(DAY(Sep_Dim1)=1,IF(AND(YEAR(Sep_Dim1+1)=Année_Calendaire,MONTH(Sep_Dim1+1)=9),Sep_Dim1+1,""),IF(AND(YEAR(Sep_Dim1+8)=Année_Calendaire,MONTH(Sep_Dim1+8)=9),Sep_Dim1+8,""))</f>
        <v>44445</v>
      </c>
      <c r="C78" s="1725"/>
      <c r="D78" s="1450">
        <f>IF(DAY(Sep_Dim1)=1,IF(AND(YEAR(Sep_Dim1+2)=Année_Calendaire,MONTH(Sep_Dim1+2)=9),Sep_Dim1+2,""),IF(AND(YEAR(Sep_Dim1+9)=Année_Calendaire,MONTH(Sep_Dim1+9)=9),Sep_Dim1+9,""))</f>
        <v>44446</v>
      </c>
      <c r="E78" s="1725"/>
      <c r="F78" s="1450">
        <f>IF(DAY(Sep_Dim1)=1,IF(AND(YEAR(Sep_Dim1+3)=Année_Calendaire,MONTH(Sep_Dim1+3)=9),Sep_Dim1+3,""),IF(AND(YEAR(Sep_Dim1+10)=Année_Calendaire,MONTH(Sep_Dim1+10)=9),Sep_Dim1+10,""))</f>
        <v>44447</v>
      </c>
      <c r="G78" s="1725"/>
      <c r="H78" s="1450">
        <f>IF(DAY(Sep_Dim1)=1,IF(AND(YEAR(Sep_Dim1+4)=Année_Calendaire,MONTH(Sep_Dim1+4)=9),Sep_Dim1+4,""),IF(AND(YEAR(Sep_Dim1+11)=Année_Calendaire,MONTH(Sep_Dim1+11)=9),Sep_Dim1+11,""))</f>
        <v>44448</v>
      </c>
      <c r="I78" s="1725"/>
      <c r="J78" s="1450">
        <f>IF(DAY(Sep_Dim1)=1,IF(AND(YEAR(Sep_Dim1+5)=Année_Calendaire,MONTH(Sep_Dim1+5)=9),Sep_Dim1+5,""),IF(AND(YEAR(Sep_Dim1+12)=Année_Calendaire,MONTH(Sep_Dim1+12)=9),Sep_Dim1+12,""))</f>
        <v>44449</v>
      </c>
      <c r="K78" s="1725"/>
      <c r="L78" s="1443">
        <f>IF(DAY(Sep_Dim1)=1,IF(AND(YEAR(Sep_Dim1+6)=Année_Calendaire,MONTH(Sep_Dim1+6)=9),Sep_Dim1+6,""),IF(AND(YEAR(Sep_Dim1+13)=Année_Calendaire,MONTH(Sep_Dim1+13)=9),Sep_Dim1+13,""))</f>
        <v>44450</v>
      </c>
      <c r="M78" s="1725"/>
      <c r="N78" s="1440">
        <f>IF(DAY(Sep_Dim1)=1,IF(AND(YEAR(Sep_Dim1+7)=Année_Calendaire,MONTH(Sep_Dim1+7)=9),Sep_Dim1+7,""),IF(AND(YEAR(Sep_Dim1+14)=Année_Calendaire,MONTH(Sep_Dim1+14)=9),Sep_Dim1+14,""))</f>
        <v>44451</v>
      </c>
      <c r="O78" s="1725"/>
      <c r="P78" s="1329">
        <f>C78+E78+G78+I78+K78+M78+O78</f>
        <v>0</v>
      </c>
      <c r="Q78" s="389"/>
      <c r="R78" s="389"/>
      <c r="S78" s="389"/>
      <c r="T78" s="389"/>
      <c r="U78" s="389"/>
      <c r="V78" s="389"/>
      <c r="W78" s="389"/>
      <c r="X78" s="389"/>
      <c r="Y78" s="389"/>
      <c r="Z78" s="389"/>
      <c r="AC78"/>
      <c r="AD78"/>
      <c r="AE78"/>
      <c r="AF78"/>
      <c r="AG78"/>
      <c r="AH78"/>
    </row>
    <row r="79" spans="1:34" s="357" customFormat="1" ht="15" customHeight="1" x14ac:dyDescent="0.25">
      <c r="A79" s="377"/>
      <c r="B79" s="1447">
        <f>IF(DAY(Sep_Dim1)=1,IF(AND(YEAR(Sep_Dim1+8)=Année_Calendaire,MONTH(Sep_Dim1+8)=9),Sep_Dim1+8,""),IF(AND(YEAR(Sep_Dim1+15)=Année_Calendaire,MONTH(Sep_Dim1+15)=9),Sep_Dim1+15,""))</f>
        <v>44452</v>
      </c>
      <c r="C79" s="1725"/>
      <c r="D79" s="1451">
        <f>IF(DAY(Sep_Dim1)=1,IF(AND(YEAR(Sep_Dim1+9)=Année_Calendaire,MONTH(Sep_Dim1+9)=9),Sep_Dim1+9,""),IF(AND(YEAR(Sep_Dim1+16)=Année_Calendaire,MONTH(Sep_Dim1+16)=9),Sep_Dim1+16,""))</f>
        <v>44453</v>
      </c>
      <c r="E79" s="1725"/>
      <c r="F79" s="1451">
        <f>IF(DAY(Sep_Dim1)=1,IF(AND(YEAR(Sep_Dim1+10)=Année_Calendaire,MONTH(Sep_Dim1+10)=9),Sep_Dim1+10,""),IF(AND(YEAR(Sep_Dim1+17)=Année_Calendaire,MONTH(Sep_Dim1+17)=9),Sep_Dim1+17,""))</f>
        <v>44454</v>
      </c>
      <c r="G79" s="1725"/>
      <c r="H79" s="1451">
        <f>IF(DAY(Sep_Dim1)=1,IF(AND(YEAR(Sep_Dim1+11)=Année_Calendaire,MONTH(Sep_Dim1+11)=9),Sep_Dim1+11,""),IF(AND(YEAR(Sep_Dim1+18)=Année_Calendaire,MONTH(Sep_Dim1+18)=9),Sep_Dim1+18,""))</f>
        <v>44455</v>
      </c>
      <c r="I79" s="1725"/>
      <c r="J79" s="1451">
        <f>IF(DAY(Sep_Dim1)=1,IF(AND(YEAR(Sep_Dim1+12)=Année_Calendaire,MONTH(Sep_Dim1+12)=9),Sep_Dim1+12,""),IF(AND(YEAR(Sep_Dim1+19)=Année_Calendaire,MONTH(Sep_Dim1+19)=9),Sep_Dim1+19,""))</f>
        <v>44456</v>
      </c>
      <c r="K79" s="1725"/>
      <c r="L79" s="1444">
        <f>IF(DAY(Sep_Dim1)=1,IF(AND(YEAR(Sep_Dim1+13)=Année_Calendaire,MONTH(Sep_Dim1+13)=9),Sep_Dim1+13,""),IF(AND(YEAR(Sep_Dim1+20)=Année_Calendaire,MONTH(Sep_Dim1+20)=9),Sep_Dim1+20,""))</f>
        <v>44457</v>
      </c>
      <c r="M79" s="1725"/>
      <c r="N79" s="1441">
        <f>IF(DAY(Sep_Dim1)=1,IF(AND(YEAR(Sep_Dim1+14)=Année_Calendaire,MONTH(Sep_Dim1+14)=9),Sep_Dim1+14,""),IF(AND(YEAR(Sep_Dim1+21)=Année_Calendaire,MONTH(Sep_Dim1+21)=9),Sep_Dim1+21,""))</f>
        <v>44458</v>
      </c>
      <c r="O79" s="1725"/>
      <c r="P79" s="1329">
        <f>C79+E79+G79+I79+K79+M79+O79</f>
        <v>0</v>
      </c>
      <c r="Q79" s="389"/>
      <c r="R79" s="389"/>
      <c r="S79" s="389"/>
      <c r="T79" s="389"/>
      <c r="U79" s="389"/>
      <c r="V79" s="389"/>
      <c r="W79" s="389"/>
      <c r="X79" s="389"/>
      <c r="Y79" s="389"/>
      <c r="Z79" s="389"/>
      <c r="AC79"/>
      <c r="AD79"/>
      <c r="AE79"/>
      <c r="AF79"/>
      <c r="AG79"/>
      <c r="AH79"/>
    </row>
    <row r="80" spans="1:34" s="357" customFormat="1" ht="15" customHeight="1" x14ac:dyDescent="0.25">
      <c r="A80" s="377"/>
      <c r="B80" s="1446">
        <f>IF(DAY(Sep_Dim1)=1,IF(AND(YEAR(Sep_Dim1+15)=Année_Calendaire,MONTH(Sep_Dim1+15)=9),Sep_Dim1+15,""),IF(AND(YEAR(Sep_Dim1+22)=Année_Calendaire,MONTH(Sep_Dim1+22)=9),Sep_Dim1+22,""))</f>
        <v>44459</v>
      </c>
      <c r="C80" s="1725"/>
      <c r="D80" s="1450">
        <f>IF(DAY(Sep_Dim1)=1,IF(AND(YEAR(Sep_Dim1+16)=Année_Calendaire,MONTH(Sep_Dim1+16)=9),Sep_Dim1+16,""),IF(AND(YEAR(Sep_Dim1+23)=Année_Calendaire,MONTH(Sep_Dim1+23)=9),Sep_Dim1+23,""))</f>
        <v>44460</v>
      </c>
      <c r="E80" s="1725"/>
      <c r="F80" s="1450">
        <f>IF(DAY(Sep_Dim1)=1,IF(AND(YEAR(Sep_Dim1+17)=Année_Calendaire,MONTH(Sep_Dim1+17)=9),Sep_Dim1+17,""),IF(AND(YEAR(Sep_Dim1+24)=Année_Calendaire,MONTH(Sep_Dim1+24)=9),Sep_Dim1+24,""))</f>
        <v>44461</v>
      </c>
      <c r="G80" s="1725"/>
      <c r="H80" s="1450">
        <f>IF(DAY(Sep_Dim1)=1,IF(AND(YEAR(Sep_Dim1+18)=Année_Calendaire,MONTH(Sep_Dim1+18)=9),Sep_Dim1+18,""),IF(AND(YEAR(Sep_Dim1+25)=Année_Calendaire,MONTH(Sep_Dim1+25)=9),Sep_Dim1+25,""))</f>
        <v>44462</v>
      </c>
      <c r="I80" s="1725"/>
      <c r="J80" s="1450">
        <f>IF(DAY(Sep_Dim1)=1,IF(AND(YEAR(Sep_Dim1+19)=Année_Calendaire,MONTH(Sep_Dim1+19)=9),Sep_Dim1+19,""),IF(AND(YEAR(Sep_Dim1+26)=Année_Calendaire,MONTH(Sep_Dim1+26)=9),Sep_Dim1+26,""))</f>
        <v>44463</v>
      </c>
      <c r="K80" s="1725"/>
      <c r="L80" s="1443">
        <f>IF(DAY(Sep_Dim1)=1,IF(AND(YEAR(Sep_Dim1+20)=Année_Calendaire,MONTH(Sep_Dim1+20)=9),Sep_Dim1+20,""),IF(AND(YEAR(Sep_Dim1+27)=Année_Calendaire,MONTH(Sep_Dim1+27)=9),Sep_Dim1+27,""))</f>
        <v>44464</v>
      </c>
      <c r="M80" s="1725"/>
      <c r="N80" s="1440">
        <f>IF(DAY(Sep_Dim1)=1,IF(AND(YEAR(Sep_Dim1+21)=Année_Calendaire,MONTH(Sep_Dim1+21)=9),Sep_Dim1+21,""),IF(AND(YEAR(Sep_Dim1+28)=Année_Calendaire,MONTH(Sep_Dim1+28)=9),Sep_Dim1+28,""))</f>
        <v>44465</v>
      </c>
      <c r="O80" s="1725"/>
      <c r="P80" s="1329">
        <f>C80+E80+G80+I80+K80+M80+O80</f>
        <v>0</v>
      </c>
      <c r="Q80" s="389"/>
      <c r="R80" s="389"/>
      <c r="S80" s="389"/>
      <c r="T80" s="389"/>
      <c r="U80" s="389"/>
      <c r="V80" s="389"/>
      <c r="W80" s="389"/>
      <c r="X80" s="389"/>
      <c r="Y80" s="389"/>
      <c r="Z80" s="389"/>
      <c r="AC80"/>
      <c r="AD80"/>
      <c r="AE80"/>
      <c r="AF80"/>
      <c r="AG80"/>
      <c r="AH80"/>
    </row>
    <row r="81" spans="1:34" s="357" customFormat="1" ht="15" customHeight="1" thickBot="1" x14ac:dyDescent="0.3">
      <c r="A81" s="377"/>
      <c r="B81" s="1447">
        <f>IF(DAY(Sep_Dim1)=1,IF(AND(YEAR(Sep_Dim1+22)=Année_Calendaire,MONTH(Sep_Dim1+22)=9),Sep_Dim1+22,""),IF(AND(YEAR(Sep_Dim1+29)=Année_Calendaire,MONTH(Sep_Dim1+29)=9),Sep_Dim1+29,""))</f>
        <v>44466</v>
      </c>
      <c r="C81" s="1725"/>
      <c r="D81" s="1451">
        <f>IF(DAY(Sep_Dim1)=1,IF(AND(YEAR(Sep_Dim1+23)=Année_Calendaire,MONTH(Sep_Dim1+23)=9),Sep_Dim1+23,""),IF(AND(YEAR(Sep_Dim1+30)=Année_Calendaire,MONTH(Sep_Dim1+30)=9),Sep_Dim1+30,""))</f>
        <v>44467</v>
      </c>
      <c r="E81" s="1725"/>
      <c r="F81" s="1451">
        <f>IF(DAY(Sep_Dim1)=1,IF(AND(YEAR(Sep_Dim1+24)=Année_Calendaire,MONTH(Sep_Dim1+24)=9),Sep_Dim1+24,""),IF(AND(YEAR(Sep_Dim1+31)=Année_Calendaire,MONTH(Sep_Dim1+31)=9),Sep_Dim1+31,""))</f>
        <v>44468</v>
      </c>
      <c r="G81" s="1726"/>
      <c r="H81" s="1451">
        <f>IF(DAY(Sep_Dim1)=1,IF(AND(YEAR(Sep_Dim1+25)=Année_Calendaire,MONTH(Sep_Dim1+25)=9),Sep_Dim1+25,""),IF(AND(YEAR(Sep_Dim1+32)=Année_Calendaire,MONTH(Sep_Dim1+32)=9),Sep_Dim1+32,""))</f>
        <v>44469</v>
      </c>
      <c r="I81" s="1726"/>
      <c r="J81" s="1451" t="str">
        <f>IF(DAY(Sep_Dim1)=1,IF(AND(YEAR(Sep_Dim1+26)=Année_Calendaire,MONTH(Sep_Dim1+26)=9),Sep_Dim1+26,""),IF(AND(YEAR(Sep_Dim1+33)=Année_Calendaire,MONTH(Sep_Dim1+33)=9),Sep_Dim1+33,""))</f>
        <v/>
      </c>
      <c r="K81" s="1726"/>
      <c r="L81" s="1444" t="str">
        <f>IF(DAY(Sep_Dim1)=1,IF(AND(YEAR(Sep_Dim1+27)=Année_Calendaire,MONTH(Sep_Dim1+27)=9),Sep_Dim1+27,""),IF(AND(YEAR(Sep_Dim1+34)=Année_Calendaire,MONTH(Sep_Dim1+34)=9),Sep_Dim1+34,""))</f>
        <v/>
      </c>
      <c r="M81" s="1726"/>
      <c r="N81" s="1441" t="str">
        <f>IF(DAY(Sep_Dim1)=1,IF(AND(YEAR(Sep_Dim1+28)=Année_Calendaire,MONTH(Sep_Dim1+28)=9),Sep_Dim1+28,""),IF(AND(YEAR(Sep_Dim1+35)=Année_Calendaire,MONTH(Sep_Dim1+35)=9),Sep_Dim1+35,""))</f>
        <v/>
      </c>
      <c r="O81" s="1726"/>
      <c r="P81" s="1329">
        <f>C81+E81+G81+I81+K81+M81+O81</f>
        <v>0</v>
      </c>
      <c r="Q81" s="389"/>
      <c r="R81" s="389"/>
      <c r="S81" s="389"/>
      <c r="T81" s="389"/>
      <c r="U81" s="389"/>
      <c r="V81" s="389"/>
      <c r="W81" s="389"/>
      <c r="X81" s="389"/>
      <c r="Y81" s="389"/>
      <c r="Z81" s="389"/>
      <c r="AC81"/>
      <c r="AD81"/>
      <c r="AE81"/>
      <c r="AF81"/>
      <c r="AG81"/>
      <c r="AH81"/>
    </row>
    <row r="82" spans="1:34" s="357" customFormat="1" ht="15" customHeight="1" thickTop="1" thickBot="1" x14ac:dyDescent="0.3">
      <c r="A82" s="377"/>
      <c r="B82" s="1448" t="str">
        <f>IF(DAY(Sep_Dim1)=1,IF(AND(YEAR(Sep_Dim1+29)=Année_Calendaire,MONTH(Sep_Dim1+29)=9),Sep_Dim1+29,""),IF(AND(YEAR(Sep_Dim1+36)=Année_Calendaire,MONTH(Sep_Dim1+36)=9),Sep_Dim1+36,""))</f>
        <v/>
      </c>
      <c r="C82" s="1726"/>
      <c r="D82" s="1452" t="str">
        <f>IF(DAY(Sep_Dim1)=1,IF(AND(YEAR(Sep_Dim1+30)=Année_Calendaire,MONTH(Sep_Dim1+30)=9),Sep_Dim1+30,""),IF(AND(YEAR(Sep_Dim1+37)=Année_Calendaire,MONTH(Sep_Dim1+37)=9),Sep_Dim1+37,""))</f>
        <v/>
      </c>
      <c r="E82" s="1726"/>
      <c r="F82" s="373"/>
      <c r="G82" s="374"/>
      <c r="H82" s="375" t="s">
        <v>749</v>
      </c>
      <c r="I82" s="1585">
        <f>SUM(B83:O83)</f>
        <v>0</v>
      </c>
      <c r="J82" s="1585"/>
      <c r="K82" s="375">
        <f>COUNTA(C77:C82,E77:E82,G77:G81,I77:I81,K77:K81,M77:M81,O77:O81)</f>
        <v>0</v>
      </c>
      <c r="L82" s="374" t="s">
        <v>750</v>
      </c>
      <c r="M82" s="374"/>
      <c r="N82" s="375" t="s">
        <v>751</v>
      </c>
      <c r="O82" s="376" t="e">
        <f>I82/K82</f>
        <v>#DIV/0!</v>
      </c>
      <c r="P82" s="1330">
        <f>C82+E82</f>
        <v>0</v>
      </c>
      <c r="Q82" s="389"/>
      <c r="R82" s="389"/>
      <c r="S82" s="389"/>
      <c r="T82" s="389"/>
      <c r="U82" s="389"/>
      <c r="V82" s="389"/>
      <c r="W82" s="389"/>
      <c r="X82" s="389"/>
      <c r="Y82" s="389"/>
      <c r="Z82" s="389"/>
      <c r="AC82"/>
      <c r="AD82"/>
      <c r="AE82"/>
      <c r="AF82"/>
      <c r="AG82"/>
      <c r="AH82"/>
    </row>
    <row r="83" spans="1:34" s="357" customFormat="1" ht="15" customHeight="1" thickTop="1" thickBot="1" x14ac:dyDescent="0.3">
      <c r="A83" s="377"/>
      <c r="B83" s="1331"/>
      <c r="C83" s="1332">
        <f>SUM(C77:C82)</f>
        <v>0</v>
      </c>
      <c r="D83" s="1333"/>
      <c r="E83" s="1334">
        <f>SUM(E77:E82)</f>
        <v>0</v>
      </c>
      <c r="F83" s="1333"/>
      <c r="G83" s="1334">
        <f>SUM(G77:G81)</f>
        <v>0</v>
      </c>
      <c r="H83" s="1333"/>
      <c r="I83" s="1334">
        <f>SUM(I77:I81)</f>
        <v>0</v>
      </c>
      <c r="J83" s="1333"/>
      <c r="K83" s="1334">
        <f>SUM(K77:K81)</f>
        <v>0</v>
      </c>
      <c r="L83" s="1333"/>
      <c r="M83" s="1334">
        <f>SUM(M77:M81)</f>
        <v>0</v>
      </c>
      <c r="N83" s="1333"/>
      <c r="O83" s="1334">
        <f>SUM(O77:O81)</f>
        <v>0</v>
      </c>
      <c r="P83" s="1335"/>
      <c r="Q83" s="389"/>
      <c r="R83" s="389"/>
      <c r="S83" s="389"/>
      <c r="T83" s="389"/>
      <c r="U83" s="389"/>
      <c r="V83" s="389"/>
      <c r="W83" s="389"/>
      <c r="X83" s="389"/>
      <c r="Y83" s="389"/>
      <c r="Z83" s="389"/>
      <c r="AC83"/>
      <c r="AD83"/>
      <c r="AE83"/>
      <c r="AF83"/>
      <c r="AG83"/>
      <c r="AH83"/>
    </row>
    <row r="84" spans="1:34" ht="30" customHeight="1" x14ac:dyDescent="0.25">
      <c r="A84" s="371"/>
      <c r="B84" s="1590">
        <f>D88</f>
        <v>44481</v>
      </c>
      <c r="C84" s="1591"/>
      <c r="D84" s="1591"/>
      <c r="E84" s="1591"/>
      <c r="F84" s="1591"/>
      <c r="G84" s="1591"/>
      <c r="H84" s="1591"/>
      <c r="I84" s="1591"/>
      <c r="J84" s="1591"/>
      <c r="K84" s="1591"/>
      <c r="L84" s="1591"/>
      <c r="M84" s="1591"/>
      <c r="N84" s="1591"/>
      <c r="O84" s="1591"/>
      <c r="P84" s="1592"/>
      <c r="Q84" s="386"/>
      <c r="R84" s="386"/>
      <c r="S84" s="386"/>
      <c r="T84" s="386"/>
      <c r="U84" s="386"/>
      <c r="V84" s="386"/>
      <c r="W84" s="386"/>
      <c r="X84" s="386"/>
      <c r="Y84" s="386"/>
      <c r="Z84" s="386"/>
    </row>
    <row r="85" spans="1:34" s="377" customFormat="1" ht="29.25" customHeight="1" x14ac:dyDescent="0.25">
      <c r="B85" s="1586" t="s">
        <v>752</v>
      </c>
      <c r="C85" s="1587"/>
      <c r="D85" s="1587" t="s">
        <v>753</v>
      </c>
      <c r="E85" s="1587"/>
      <c r="F85" s="1587" t="s">
        <v>754</v>
      </c>
      <c r="G85" s="1587"/>
      <c r="H85" s="1587" t="s">
        <v>755</v>
      </c>
      <c r="I85" s="1587"/>
      <c r="J85" s="1587" t="s">
        <v>756</v>
      </c>
      <c r="K85" s="1587"/>
      <c r="L85" s="1588" t="s">
        <v>757</v>
      </c>
      <c r="M85" s="1588"/>
      <c r="N85" s="1589" t="s">
        <v>758</v>
      </c>
      <c r="O85" s="1589"/>
      <c r="P85" s="1327" t="s">
        <v>759</v>
      </c>
      <c r="Q85" s="389"/>
      <c r="R85" s="388"/>
      <c r="S85" s="388"/>
      <c r="T85" s="388"/>
      <c r="U85" s="388"/>
      <c r="V85" s="388"/>
      <c r="W85" s="388"/>
      <c r="X85" s="388"/>
      <c r="Y85" s="388"/>
      <c r="Z85" s="388"/>
      <c r="AC85"/>
      <c r="AD85"/>
      <c r="AE85"/>
      <c r="AF85"/>
      <c r="AG85"/>
      <c r="AH85"/>
    </row>
    <row r="86" spans="1:34" s="377" customFormat="1" ht="15" customHeight="1" x14ac:dyDescent="0.25">
      <c r="B86" s="1445" t="str">
        <f>IF(DAY(Oct_Dim1)=1,"",IF(AND(YEAR(Oct_Dim1+1)=Année_Calendaire,MONTH(Oct_Dim1+1)=10),Oct_Dim1+1,""))</f>
        <v/>
      </c>
      <c r="C86" s="1724"/>
      <c r="D86" s="1449" t="str">
        <f>IF(DAY(Oct_Dim1)=1,"",IF(AND(YEAR(Oct_Dim1+2)=Année_Calendaire,MONTH(Oct_Dim1+2)=10),Oct_Dim1+2,""))</f>
        <v/>
      </c>
      <c r="E86" s="1724"/>
      <c r="F86" s="1449" t="str">
        <f>IF(DAY(Oct_Dim1)=1,"",IF(AND(YEAR(Oct_Dim1+3)=Année_Calendaire,MONTH(Oct_Dim1+3)=10),Oct_Dim1+3,""))</f>
        <v/>
      </c>
      <c r="G86" s="1724"/>
      <c r="H86" s="1449" t="str">
        <f>IF(DAY(Oct_Dim1)=1,"",IF(AND(YEAR(Oct_Dim1+4)=Année_Calendaire,MONTH(Oct_Dim1+4)=10),Oct_Dim1+4,""))</f>
        <v/>
      </c>
      <c r="I86" s="1724"/>
      <c r="J86" s="1449">
        <f>IF(DAY(Oct_Dim1)=1,"",IF(AND(YEAR(Oct_Dim1+5)=Année_Calendaire,MONTH(Oct_Dim1+5)=10),Oct_Dim1+5,""))</f>
        <v>44470</v>
      </c>
      <c r="K86" s="1724"/>
      <c r="L86" s="1442">
        <f>IF(DAY(Oct_Dim1)=1,"",IF(AND(YEAR(Oct_Dim1+6)=Année_Calendaire,MONTH(Oct_Dim1+6)=10),Oct_Dim1+6,""))</f>
        <v>44471</v>
      </c>
      <c r="M86" s="1724"/>
      <c r="N86" s="1439">
        <f>IF(DAY(Oct_Dim1)=1,IF(AND(YEAR(Oct_Dim1)=Année_Calendaire,MONTH(Oct_Dim1)=10),Oct_Dim1,""),IF(AND(YEAR(Oct_Dim1+7)=Année_Calendaire,MONTH(Oct_Dim1+7)=10),Oct_Dim1+7,""))</f>
        <v>44472</v>
      </c>
      <c r="O86" s="1724"/>
      <c r="P86" s="1328">
        <f>C86+E86+G86+I86+K86+M86+O86</f>
        <v>0</v>
      </c>
      <c r="Q86" s="388"/>
      <c r="R86" s="388"/>
      <c r="S86" s="388"/>
      <c r="T86" s="388"/>
      <c r="U86" s="388"/>
      <c r="V86" s="388"/>
      <c r="W86" s="388"/>
      <c r="X86" s="388"/>
      <c r="Y86" s="388"/>
      <c r="Z86" s="388"/>
      <c r="AC86"/>
      <c r="AD86"/>
      <c r="AE86"/>
      <c r="AF86"/>
      <c r="AG86"/>
      <c r="AH86"/>
    </row>
    <row r="87" spans="1:34" s="357" customFormat="1" ht="15" customHeight="1" x14ac:dyDescent="0.25">
      <c r="A87" s="377"/>
      <c r="B87" s="1446">
        <f>IF(DAY(Oct_Dim1)=1,IF(AND(YEAR(Oct_Dim1+1)=Année_Calendaire,MONTH(Oct_Dim1+1)=10),Oct_Dim1+1,""),IF(AND(YEAR(Oct_Dim1+8)=Année_Calendaire,MONTH(Oct_Dim1+8)=10),Oct_Dim1+8,""))</f>
        <v>44473</v>
      </c>
      <c r="C87" s="1725"/>
      <c r="D87" s="1450">
        <f>IF(DAY(Oct_Dim1)=1,IF(AND(YEAR(Oct_Dim1+2)=Année_Calendaire,MONTH(Oct_Dim1+2)=10),Oct_Dim1+2,""),IF(AND(YEAR(Oct_Dim1+9)=Année_Calendaire,MONTH(Oct_Dim1+9)=10),Oct_Dim1+9,""))</f>
        <v>44474</v>
      </c>
      <c r="E87" s="1725"/>
      <c r="F87" s="1450">
        <f>IF(DAY(Oct_Dim1)=1,IF(AND(YEAR(Oct_Dim1+3)=Année_Calendaire,MONTH(Oct_Dim1+3)=10),Oct_Dim1+3,""),IF(AND(YEAR(Oct_Dim1+10)=Année_Calendaire,MONTH(Oct_Dim1+10)=10),Oct_Dim1+10,""))</f>
        <v>44475</v>
      </c>
      <c r="G87" s="1725"/>
      <c r="H87" s="1450">
        <f>IF(DAY(Oct_Dim1)=1,IF(AND(YEAR(Oct_Dim1+4)=Année_Calendaire,MONTH(Oct_Dim1+4)=10),Oct_Dim1+4,""),IF(AND(YEAR(Oct_Dim1+11)=Année_Calendaire,MONTH(Oct_Dim1+11)=10),Oct_Dim1+11,""))</f>
        <v>44476</v>
      </c>
      <c r="I87" s="1725"/>
      <c r="J87" s="1450">
        <f>IF(DAY(Oct_Dim1)=1,IF(AND(YEAR(Oct_Dim1+5)=Année_Calendaire,MONTH(Oct_Dim1+5)=10),Oct_Dim1+5,""),IF(AND(YEAR(Oct_Dim1+12)=Année_Calendaire,MONTH(Oct_Dim1+12)=10),Oct_Dim1+12,""))</f>
        <v>44477</v>
      </c>
      <c r="K87" s="1725"/>
      <c r="L87" s="1443">
        <f>IF(DAY(Oct_Dim1)=1,IF(AND(YEAR(Oct_Dim1+6)=Année_Calendaire,MONTH(Oct_Dim1+6)=10),Oct_Dim1+6,""),IF(AND(YEAR(Oct_Dim1+13)=Année_Calendaire,MONTH(Oct_Dim1+13)=10),Oct_Dim1+13,""))</f>
        <v>44478</v>
      </c>
      <c r="M87" s="1725"/>
      <c r="N87" s="1440">
        <f>IF(DAY(Oct_Dim1)=1,IF(AND(YEAR(Oct_Dim1+7)=Année_Calendaire,MONTH(Oct_Dim1+7)=10),Oct_Dim1+7,""),IF(AND(YEAR(Oct_Dim1+14)=Année_Calendaire,MONTH(Oct_Dim1+14)=10),Oct_Dim1+14,""))</f>
        <v>44479</v>
      </c>
      <c r="O87" s="1725"/>
      <c r="P87" s="1329">
        <f>C87+E87+G87+I87+K87+M87+O87</f>
        <v>0</v>
      </c>
      <c r="Q87" s="389"/>
      <c r="R87" s="389"/>
      <c r="S87" s="389"/>
      <c r="T87" s="389"/>
      <c r="U87" s="389"/>
      <c r="V87" s="389"/>
      <c r="W87" s="389"/>
      <c r="X87" s="389"/>
      <c r="Y87" s="389"/>
      <c r="Z87" s="389"/>
      <c r="AC87"/>
      <c r="AD87"/>
      <c r="AE87"/>
      <c r="AF87"/>
      <c r="AG87"/>
      <c r="AH87"/>
    </row>
    <row r="88" spans="1:34" s="357" customFormat="1" ht="15" customHeight="1" x14ac:dyDescent="0.25">
      <c r="A88" s="377"/>
      <c r="B88" s="1447">
        <f>IF(DAY(Oct_Dim1)=1,IF(AND(YEAR(Oct_Dim1+8)=Année_Calendaire,MONTH(Oct_Dim1+8)=10),Oct_Dim1+8,""),IF(AND(YEAR(Oct_Dim1+15)=Année_Calendaire,MONTH(Oct_Dim1+15)=10),Oct_Dim1+15,""))</f>
        <v>44480</v>
      </c>
      <c r="C88" s="1725"/>
      <c r="D88" s="1451">
        <f>IF(DAY(Oct_Dim1)=1,IF(AND(YEAR(Oct_Dim1+9)=Année_Calendaire,MONTH(Oct_Dim1+9)=10),Oct_Dim1+9,""),IF(AND(YEAR(Oct_Dim1+16)=Année_Calendaire,MONTH(Oct_Dim1+16)=10),Oct_Dim1+16,""))</f>
        <v>44481</v>
      </c>
      <c r="E88" s="1725"/>
      <c r="F88" s="1451">
        <f>IF(DAY(Oct_Dim1)=1,IF(AND(YEAR(Oct_Dim1+10)=Année_Calendaire,MONTH(Oct_Dim1+10)=10),Oct_Dim1+10,""),IF(AND(YEAR(Oct_Dim1+17)=Année_Calendaire,MONTH(Oct_Dim1+17)=10),Oct_Dim1+17,""))</f>
        <v>44482</v>
      </c>
      <c r="G88" s="1725"/>
      <c r="H88" s="1451">
        <f>IF(DAY(Oct_Dim1)=1,IF(AND(YEAR(Oct_Dim1+11)=Année_Calendaire,MONTH(Oct_Dim1+11)=10),Oct_Dim1+11,""),IF(AND(YEAR(Oct_Dim1+18)=Année_Calendaire,MONTH(Oct_Dim1+18)=10),Oct_Dim1+18,""))</f>
        <v>44483</v>
      </c>
      <c r="I88" s="1725"/>
      <c r="J88" s="1451">
        <f>IF(DAY(Oct_Dim1)=1,IF(AND(YEAR(Oct_Dim1+12)=Année_Calendaire,MONTH(Oct_Dim1+12)=10),Oct_Dim1+12,""),IF(AND(YEAR(Oct_Dim1+19)=Année_Calendaire,MONTH(Oct_Dim1+19)=10),Oct_Dim1+19,""))</f>
        <v>44484</v>
      </c>
      <c r="K88" s="1725"/>
      <c r="L88" s="1444">
        <f>IF(DAY(Oct_Dim1)=1,IF(AND(YEAR(Oct_Dim1+13)=Année_Calendaire,MONTH(Oct_Dim1+13)=10),Oct_Dim1+13,""),IF(AND(YEAR(Oct_Dim1+20)=Année_Calendaire,MONTH(Oct_Dim1+20)=10),Oct_Dim1+20,""))</f>
        <v>44485</v>
      </c>
      <c r="M88" s="1725"/>
      <c r="N88" s="1441">
        <f>IF(DAY(Oct_Dim1)=1,IF(AND(YEAR(Oct_Dim1+14)=Année_Calendaire,MONTH(Oct_Dim1+14)=10),Oct_Dim1+14,""),IF(AND(YEAR(Oct_Dim1+21)=Année_Calendaire,MONTH(Oct_Dim1+21)=10),Oct_Dim1+21,""))</f>
        <v>44486</v>
      </c>
      <c r="O88" s="1725"/>
      <c r="P88" s="1329">
        <f>C88+E88+G88+I88+K88+M88+O88</f>
        <v>0</v>
      </c>
      <c r="Q88" s="389"/>
      <c r="R88" s="389"/>
      <c r="S88" s="389"/>
      <c r="T88" s="389"/>
      <c r="U88" s="389"/>
      <c r="V88" s="389"/>
      <c r="W88" s="389"/>
      <c r="X88" s="389"/>
      <c r="Y88" s="389"/>
      <c r="Z88" s="389"/>
      <c r="AC88"/>
      <c r="AD88"/>
      <c r="AE88"/>
      <c r="AF88"/>
      <c r="AG88"/>
      <c r="AH88"/>
    </row>
    <row r="89" spans="1:34" s="357" customFormat="1" ht="15" customHeight="1" x14ac:dyDescent="0.25">
      <c r="A89" s="377"/>
      <c r="B89" s="1446">
        <f>IF(DAY(Oct_Dim1)=1,IF(AND(YEAR(Oct_Dim1+15)=Année_Calendaire,MONTH(Oct_Dim1+15)=10),Oct_Dim1+15,""),IF(AND(YEAR(Oct_Dim1+22)=Année_Calendaire,MONTH(Oct_Dim1+22)=10),Oct_Dim1+22,""))</f>
        <v>44487</v>
      </c>
      <c r="C89" s="1725"/>
      <c r="D89" s="1450">
        <f>IF(DAY(Oct_Dim1)=1,IF(AND(YEAR(Oct_Dim1+16)=Année_Calendaire,MONTH(Oct_Dim1+16)=10),Oct_Dim1+16,""),IF(AND(YEAR(Oct_Dim1+23)=Année_Calendaire,MONTH(Oct_Dim1+23)=10),Oct_Dim1+23,""))</f>
        <v>44488</v>
      </c>
      <c r="E89" s="1725"/>
      <c r="F89" s="1450">
        <f>IF(DAY(Oct_Dim1)=1,IF(AND(YEAR(Oct_Dim1+17)=Année_Calendaire,MONTH(Oct_Dim1+17)=10),Oct_Dim1+17,""),IF(AND(YEAR(Oct_Dim1+24)=Année_Calendaire,MONTH(Oct_Dim1+24)=10),Oct_Dim1+24,""))</f>
        <v>44489</v>
      </c>
      <c r="G89" s="1725"/>
      <c r="H89" s="1450">
        <f>IF(DAY(Oct_Dim1)=1,IF(AND(YEAR(Oct_Dim1+18)=Année_Calendaire,MONTH(Oct_Dim1+18)=10),Oct_Dim1+18,""),IF(AND(YEAR(Oct_Dim1+25)=Année_Calendaire,MONTH(Oct_Dim1+25)=10),Oct_Dim1+25,""))</f>
        <v>44490</v>
      </c>
      <c r="I89" s="1725"/>
      <c r="J89" s="1450">
        <f>IF(DAY(Oct_Dim1)=1,IF(AND(YEAR(Oct_Dim1+19)=Année_Calendaire,MONTH(Oct_Dim1+19)=10),Oct_Dim1+19,""),IF(AND(YEAR(Oct_Dim1+26)=Année_Calendaire,MONTH(Oct_Dim1+26)=10),Oct_Dim1+26,""))</f>
        <v>44491</v>
      </c>
      <c r="K89" s="1725"/>
      <c r="L89" s="1443">
        <f>IF(DAY(Oct_Dim1)=1,IF(AND(YEAR(Oct_Dim1+20)=Année_Calendaire,MONTH(Oct_Dim1+20)=10),Oct_Dim1+20,""),IF(AND(YEAR(Oct_Dim1+27)=Année_Calendaire,MONTH(Oct_Dim1+27)=10),Oct_Dim1+27,""))</f>
        <v>44492</v>
      </c>
      <c r="M89" s="1725"/>
      <c r="N89" s="1440">
        <f>IF(DAY(Oct_Dim1)=1,IF(AND(YEAR(Oct_Dim1+21)=Année_Calendaire,MONTH(Oct_Dim1+21)=10),Oct_Dim1+21,""),IF(AND(YEAR(Oct_Dim1+28)=Année_Calendaire,MONTH(Oct_Dim1+28)=10),Oct_Dim1+28,""))</f>
        <v>44493</v>
      </c>
      <c r="O89" s="1725"/>
      <c r="P89" s="1329">
        <f>C89+E89+G89+I89+K89+M89+O89</f>
        <v>0</v>
      </c>
      <c r="Q89" s="389"/>
      <c r="R89" s="389"/>
      <c r="S89" s="389"/>
      <c r="T89" s="389"/>
      <c r="U89" s="389"/>
      <c r="V89" s="389"/>
      <c r="W89" s="389"/>
      <c r="X89" s="389"/>
      <c r="Y89" s="389"/>
      <c r="Z89" s="389"/>
      <c r="AC89"/>
      <c r="AD89"/>
      <c r="AE89"/>
      <c r="AF89"/>
      <c r="AG89"/>
      <c r="AH89"/>
    </row>
    <row r="90" spans="1:34" s="357" customFormat="1" ht="15" customHeight="1" thickBot="1" x14ac:dyDescent="0.3">
      <c r="A90" s="377"/>
      <c r="B90" s="1447">
        <f>IF(DAY(Oct_Dim1)=1,IF(AND(YEAR(Oct_Dim1+22)=Année_Calendaire,MONTH(Oct_Dim1+22)=10),Oct_Dim1+22,""),IF(AND(YEAR(Oct_Dim1+29)=Année_Calendaire,MONTH(Oct_Dim1+29)=10),Oct_Dim1+29,""))</f>
        <v>44494</v>
      </c>
      <c r="C90" s="1725"/>
      <c r="D90" s="1451">
        <f>IF(DAY(Oct_Dim1)=1,IF(AND(YEAR(Oct_Dim1+23)=Année_Calendaire,MONTH(Oct_Dim1+23)=10),Oct_Dim1+23,""),IF(AND(YEAR(Oct_Dim1+30)=Année_Calendaire,MONTH(Oct_Dim1+30)=10),Oct_Dim1+30,""))</f>
        <v>44495</v>
      </c>
      <c r="E90" s="1725"/>
      <c r="F90" s="1451">
        <f>IF(DAY(Oct_Dim1)=1,IF(AND(YEAR(Oct_Dim1+24)=Année_Calendaire,MONTH(Oct_Dim1+24)=10),Oct_Dim1+24,""),IF(AND(YEAR(Oct_Dim1+31)=Année_Calendaire,MONTH(Oct_Dim1+31)=10),Oct_Dim1+31,""))</f>
        <v>44496</v>
      </c>
      <c r="G90" s="1726"/>
      <c r="H90" s="1451">
        <f>IF(DAY(Oct_Dim1)=1,IF(AND(YEAR(Oct_Dim1+25)=Année_Calendaire,MONTH(Oct_Dim1+25)=10),Oct_Dim1+25,""),IF(AND(YEAR(Oct_Dim1+32)=Année_Calendaire,MONTH(Oct_Dim1+32)=10),Oct_Dim1+32,""))</f>
        <v>44497</v>
      </c>
      <c r="I90" s="1726"/>
      <c r="J90" s="1451">
        <f>IF(DAY(Oct_Dim1)=1,IF(AND(YEAR(Oct_Dim1+26)=Année_Calendaire,MONTH(Oct_Dim1+26)=10),Oct_Dim1+26,""),IF(AND(YEAR(Oct_Dim1+33)=Année_Calendaire,MONTH(Oct_Dim1+33)=10),Oct_Dim1+33,""))</f>
        <v>44498</v>
      </c>
      <c r="K90" s="1726"/>
      <c r="L90" s="1444">
        <f>IF(DAY(Oct_Dim1)=1,IF(AND(YEAR(Oct_Dim1+27)=Année_Calendaire,MONTH(Oct_Dim1+27)=10),Oct_Dim1+27,""),IF(AND(YEAR(Oct_Dim1+34)=Année_Calendaire,MONTH(Oct_Dim1+34)=10),Oct_Dim1+34,""))</f>
        <v>44499</v>
      </c>
      <c r="M90" s="1726"/>
      <c r="N90" s="1441">
        <f>IF(DAY(Oct_Dim1)=1,IF(AND(YEAR(Oct_Dim1+28)=Année_Calendaire,MONTH(Oct_Dim1+28)=10),Oct_Dim1+28,""),IF(AND(YEAR(Oct_Dim1+35)=Année_Calendaire,MONTH(Oct_Dim1+35)=10),Oct_Dim1+35,""))</f>
        <v>44500</v>
      </c>
      <c r="O90" s="1726"/>
      <c r="P90" s="1329">
        <f>C90+E90+G90+I90+K90+M90+O90</f>
        <v>0</v>
      </c>
      <c r="Q90" s="389"/>
      <c r="R90" s="389"/>
      <c r="S90" s="389"/>
      <c r="T90" s="389"/>
      <c r="U90" s="389"/>
      <c r="V90" s="389"/>
      <c r="W90" s="389"/>
      <c r="X90" s="389"/>
      <c r="Y90" s="389"/>
      <c r="Z90" s="389"/>
      <c r="AC90"/>
      <c r="AD90"/>
      <c r="AE90"/>
      <c r="AF90"/>
      <c r="AG90"/>
      <c r="AH90"/>
    </row>
    <row r="91" spans="1:34" s="357" customFormat="1" ht="15" customHeight="1" thickTop="1" thickBot="1" x14ac:dyDescent="0.3">
      <c r="A91" s="377"/>
      <c r="B91" s="1448" t="str">
        <f>IF(DAY(Oct_Dim1)=1,IF(AND(YEAR(Oct_Dim1+29)=Année_Calendaire,MONTH(Oct_Dim1+29)=10),Oct_Dim1+29,""),IF(AND(YEAR(Oct_Dim1+36)=Année_Calendaire,MONTH(Oct_Dim1+36)=10),Oct_Dim1+36,""))</f>
        <v/>
      </c>
      <c r="C91" s="1726"/>
      <c r="D91" s="1452" t="str">
        <f>IF(DAY(Oct_Dim1)=1,IF(AND(YEAR(Oct_Dim1+30)=Année_Calendaire,MONTH(Oct_Dim1+30)=10),Oct_Dim1+30,""),IF(AND(YEAR(Oct_Dim1+37)=Année_Calendaire,MONTH(Oct_Dim1+37)=10),Oct_Dim1+37,""))</f>
        <v/>
      </c>
      <c r="E91" s="1726"/>
      <c r="F91" s="373"/>
      <c r="G91" s="374"/>
      <c r="H91" s="375" t="s">
        <v>749</v>
      </c>
      <c r="I91" s="1585">
        <f>SUM(B92:O92)</f>
        <v>0</v>
      </c>
      <c r="J91" s="1585"/>
      <c r="K91" s="375">
        <f>COUNTA(C86:C91,E86:E91,G86:G90,I86:I90,K86:K90,M86:M90,O86:O90)</f>
        <v>0</v>
      </c>
      <c r="L91" s="374" t="s">
        <v>750</v>
      </c>
      <c r="M91" s="374"/>
      <c r="N91" s="375" t="s">
        <v>751</v>
      </c>
      <c r="O91" s="376" t="e">
        <f>I91/K91</f>
        <v>#DIV/0!</v>
      </c>
      <c r="P91" s="1330">
        <f>C91+E91</f>
        <v>0</v>
      </c>
      <c r="Q91" s="389"/>
      <c r="R91" s="389"/>
      <c r="S91" s="389"/>
      <c r="T91" s="389"/>
      <c r="U91" s="389"/>
      <c r="V91" s="389"/>
      <c r="W91" s="389"/>
      <c r="X91" s="389"/>
      <c r="Y91" s="389"/>
      <c r="Z91" s="389"/>
      <c r="AC91"/>
      <c r="AD91"/>
      <c r="AE91"/>
      <c r="AF91"/>
      <c r="AG91"/>
      <c r="AH91"/>
    </row>
    <row r="92" spans="1:34" s="357" customFormat="1" ht="15" customHeight="1" thickTop="1" thickBot="1" x14ac:dyDescent="0.3">
      <c r="A92" s="377"/>
      <c r="B92" s="1331"/>
      <c r="C92" s="1332">
        <f>SUM(C86:C91)</f>
        <v>0</v>
      </c>
      <c r="D92" s="1333"/>
      <c r="E92" s="1334">
        <f>SUM(E86:E91)</f>
        <v>0</v>
      </c>
      <c r="F92" s="1333"/>
      <c r="G92" s="1334">
        <f>SUM(G86:G90)</f>
        <v>0</v>
      </c>
      <c r="H92" s="1333"/>
      <c r="I92" s="1334">
        <f>SUM(I86:I90)</f>
        <v>0</v>
      </c>
      <c r="J92" s="1333"/>
      <c r="K92" s="1334">
        <f>SUM(K86:K90)</f>
        <v>0</v>
      </c>
      <c r="L92" s="1333"/>
      <c r="M92" s="1334">
        <f>SUM(M86:M90)</f>
        <v>0</v>
      </c>
      <c r="N92" s="1333"/>
      <c r="O92" s="1334">
        <f>SUM(O86:O90)</f>
        <v>0</v>
      </c>
      <c r="P92" s="1335"/>
      <c r="Q92" s="389"/>
      <c r="R92" s="389"/>
      <c r="S92" s="389"/>
      <c r="T92" s="389"/>
      <c r="U92" s="389"/>
      <c r="V92" s="389"/>
      <c r="W92" s="389"/>
      <c r="X92" s="389"/>
      <c r="Y92" s="389"/>
      <c r="Z92" s="389"/>
      <c r="AC92"/>
      <c r="AD92"/>
      <c r="AE92"/>
      <c r="AF92"/>
      <c r="AG92"/>
      <c r="AH92"/>
    </row>
    <row r="93" spans="1:34" ht="30" customHeight="1" x14ac:dyDescent="0.25">
      <c r="A93" s="371"/>
      <c r="B93" s="1590">
        <f>D97</f>
        <v>44516</v>
      </c>
      <c r="C93" s="1591"/>
      <c r="D93" s="1591"/>
      <c r="E93" s="1591"/>
      <c r="F93" s="1591"/>
      <c r="G93" s="1591"/>
      <c r="H93" s="1591"/>
      <c r="I93" s="1591"/>
      <c r="J93" s="1591"/>
      <c r="K93" s="1591"/>
      <c r="L93" s="1591"/>
      <c r="M93" s="1591"/>
      <c r="N93" s="1591"/>
      <c r="O93" s="1591"/>
      <c r="P93" s="1592"/>
      <c r="Q93" s="386"/>
      <c r="R93" s="386"/>
      <c r="S93" s="386"/>
      <c r="T93" s="386"/>
      <c r="U93" s="386"/>
      <c r="V93" s="386"/>
      <c r="W93" s="386"/>
      <c r="X93" s="386"/>
      <c r="Y93" s="386"/>
      <c r="Z93" s="386"/>
    </row>
    <row r="94" spans="1:34" s="377" customFormat="1" ht="29.25" customHeight="1" x14ac:dyDescent="0.25">
      <c r="B94" s="1586" t="s">
        <v>752</v>
      </c>
      <c r="C94" s="1587"/>
      <c r="D94" s="1587" t="s">
        <v>753</v>
      </c>
      <c r="E94" s="1587"/>
      <c r="F94" s="1587" t="s">
        <v>754</v>
      </c>
      <c r="G94" s="1587"/>
      <c r="H94" s="1587" t="s">
        <v>755</v>
      </c>
      <c r="I94" s="1587"/>
      <c r="J94" s="1587" t="s">
        <v>756</v>
      </c>
      <c r="K94" s="1587"/>
      <c r="L94" s="1588" t="s">
        <v>757</v>
      </c>
      <c r="M94" s="1588"/>
      <c r="N94" s="1589" t="s">
        <v>758</v>
      </c>
      <c r="O94" s="1589"/>
      <c r="P94" s="1327" t="s">
        <v>759</v>
      </c>
      <c r="Q94" s="389"/>
      <c r="R94" s="388"/>
      <c r="S94" s="388"/>
      <c r="T94" s="388"/>
      <c r="U94" s="388"/>
      <c r="V94" s="388"/>
      <c r="W94" s="388"/>
      <c r="X94" s="388"/>
      <c r="Y94" s="388"/>
      <c r="Z94" s="388"/>
      <c r="AC94"/>
      <c r="AD94"/>
      <c r="AE94"/>
      <c r="AF94"/>
      <c r="AG94"/>
      <c r="AH94"/>
    </row>
    <row r="95" spans="1:34" s="377" customFormat="1" ht="15" customHeight="1" x14ac:dyDescent="0.25">
      <c r="B95" s="1445">
        <f>IF(DAY(Nov_Dim1)=1,"",IF(AND(YEAR(Nov_Dim1+1)=Année_Calendaire,MONTH(Nov_Dim1+1)=11),Nov_Dim1+1,""))</f>
        <v>44501</v>
      </c>
      <c r="C95" s="1724"/>
      <c r="D95" s="1449">
        <f>IF(DAY(Nov_Dim1)=1,"",IF(AND(YEAR(Nov_Dim1+2)=Année_Calendaire,MONTH(Nov_Dim1+2)=11),Nov_Dim1+2,""))</f>
        <v>44502</v>
      </c>
      <c r="E95" s="1724"/>
      <c r="F95" s="1449">
        <f>IF(DAY(Nov_Dim1)=1,"",IF(AND(YEAR(Nov_Dim1+3)=Année_Calendaire,MONTH(Nov_Dim1+3)=11),Nov_Dim1+3,""))</f>
        <v>44503</v>
      </c>
      <c r="G95" s="1724"/>
      <c r="H95" s="1449">
        <f>IF(DAY(Nov_Dim1)=1,"",IF(AND(YEAR(Nov_Dim1+4)=Année_Calendaire,MONTH(Nov_Dim1+4)=11),Nov_Dim1+4,""))</f>
        <v>44504</v>
      </c>
      <c r="I95" s="1724"/>
      <c r="J95" s="1449">
        <f>IF(DAY(Nov_Dim1)=1,"",IF(AND(YEAR(Nov_Dim1+5)=Année_Calendaire,MONTH(Nov_Dim1+5)=11),Nov_Dim1+5,""))</f>
        <v>44505</v>
      </c>
      <c r="K95" s="1724"/>
      <c r="L95" s="1442">
        <f>IF(DAY(Nov_Dim1)=1,"",IF(AND(YEAR(Nov_Dim1+6)=Année_Calendaire,MONTH(Nov_Dim1+6)=11),Nov_Dim1+6,""))</f>
        <v>44506</v>
      </c>
      <c r="M95" s="1724"/>
      <c r="N95" s="1439">
        <f>IF(DAY(Nov_Dim1)=1,IF(AND(YEAR(Nov_Dim1)=Année_Calendaire,MONTH(Nov_Dim1)=11),Nov_Dim1,""),IF(AND(YEAR(Nov_Dim1+7)=Année_Calendaire,MONTH(Nov_Dim1+7)=11),Nov_Dim1+7,""))</f>
        <v>44507</v>
      </c>
      <c r="O95" s="1724"/>
      <c r="P95" s="1328">
        <f>C95+E95+G95+I95+K95+M95+O95</f>
        <v>0</v>
      </c>
      <c r="Q95" s="388"/>
      <c r="R95" s="388"/>
      <c r="S95" s="388"/>
      <c r="T95" s="388"/>
      <c r="U95" s="388"/>
      <c r="V95" s="388"/>
      <c r="W95" s="388"/>
      <c r="X95" s="388"/>
      <c r="Y95" s="388"/>
      <c r="Z95" s="388"/>
      <c r="AC95"/>
      <c r="AD95"/>
      <c r="AE95"/>
      <c r="AF95"/>
      <c r="AG95"/>
      <c r="AH95"/>
    </row>
    <row r="96" spans="1:34" s="357" customFormat="1" ht="15" customHeight="1" x14ac:dyDescent="0.25">
      <c r="A96" s="377"/>
      <c r="B96" s="1446">
        <f>IF(DAY(Nov_Dim1)=1,IF(AND(YEAR(Nov_Dim1+1)=Année_Calendaire,MONTH(Nov_Dim1+1)=11),Nov_Dim1+1,""),IF(AND(YEAR(Nov_Dim1+8)=Année_Calendaire,MONTH(Nov_Dim1+8)=11),Nov_Dim1+8,""))</f>
        <v>44508</v>
      </c>
      <c r="C96" s="1725"/>
      <c r="D96" s="1450">
        <f>IF(DAY(Nov_Dim1)=1,IF(AND(YEAR(Nov_Dim1+2)=Année_Calendaire,MONTH(Nov_Dim1+2)=11),Nov_Dim1+2,""),IF(AND(YEAR(Nov_Dim1+9)=Année_Calendaire,MONTH(Nov_Dim1+9)=11),Nov_Dim1+9,""))</f>
        <v>44509</v>
      </c>
      <c r="E96" s="1725"/>
      <c r="F96" s="1450">
        <f>IF(DAY(Nov_Dim1)=1,IF(AND(YEAR(Nov_Dim1+3)=Année_Calendaire,MONTH(Nov_Dim1+3)=11),Nov_Dim1+3,""),IF(AND(YEAR(Nov_Dim1+10)=Année_Calendaire,MONTH(Nov_Dim1+10)=11),Nov_Dim1+10,""))</f>
        <v>44510</v>
      </c>
      <c r="G96" s="1725"/>
      <c r="H96" s="1450">
        <f>IF(DAY(Nov_Dim1)=1,IF(AND(YEAR(Nov_Dim1+4)=Année_Calendaire,MONTH(Nov_Dim1+4)=11),Nov_Dim1+4,""),IF(AND(YEAR(Nov_Dim1+11)=Année_Calendaire,MONTH(Nov_Dim1+11)=11),Nov_Dim1+11,""))</f>
        <v>44511</v>
      </c>
      <c r="I96" s="1725"/>
      <c r="J96" s="1450">
        <f>IF(DAY(Nov_Dim1)=1,IF(AND(YEAR(Nov_Dim1+5)=Année_Calendaire,MONTH(Nov_Dim1+5)=11),Nov_Dim1+5,""),IF(AND(YEAR(Nov_Dim1+12)=Année_Calendaire,MONTH(Nov_Dim1+12)=11),Nov_Dim1+12,""))</f>
        <v>44512</v>
      </c>
      <c r="K96" s="1725"/>
      <c r="L96" s="1443">
        <f>IF(DAY(Nov_Dim1)=1,IF(AND(YEAR(Nov_Dim1+6)=Année_Calendaire,MONTH(Nov_Dim1+6)=11),Nov_Dim1+6,""),IF(AND(YEAR(Nov_Dim1+13)=Année_Calendaire,MONTH(Nov_Dim1+13)=11),Nov_Dim1+13,""))</f>
        <v>44513</v>
      </c>
      <c r="M96" s="1725"/>
      <c r="N96" s="1440">
        <f>IF(DAY(Nov_Dim1)=1,IF(AND(YEAR(Nov_Dim1+7)=Année_Calendaire,MONTH(Nov_Dim1+7)=11),Nov_Dim1+7,""),IF(AND(YEAR(Nov_Dim1+14)=Année_Calendaire,MONTH(Nov_Dim1+14)=11),Nov_Dim1+14,""))</f>
        <v>44514</v>
      </c>
      <c r="O96" s="1725"/>
      <c r="P96" s="1329">
        <f>C96+E96+G96+I96+K96+M96+O96</f>
        <v>0</v>
      </c>
      <c r="Q96" s="389"/>
      <c r="R96" s="389"/>
      <c r="S96" s="389"/>
      <c r="T96" s="389"/>
      <c r="U96" s="389"/>
      <c r="V96" s="389"/>
      <c r="W96" s="389"/>
      <c r="X96" s="389"/>
      <c r="Y96" s="389"/>
      <c r="Z96" s="389"/>
      <c r="AC96"/>
      <c r="AD96"/>
      <c r="AE96"/>
      <c r="AF96"/>
      <c r="AG96"/>
      <c r="AH96"/>
    </row>
    <row r="97" spans="1:34" s="357" customFormat="1" ht="15" customHeight="1" x14ac:dyDescent="0.25">
      <c r="A97" s="377"/>
      <c r="B97" s="1447">
        <f>IF(DAY(Nov_Dim1)=1,IF(AND(YEAR(Nov_Dim1+8)=Année_Calendaire,MONTH(Nov_Dim1+8)=11),Nov_Dim1+8,""),IF(AND(YEAR(Nov_Dim1+15)=Année_Calendaire,MONTH(Nov_Dim1+15)=11),Nov_Dim1+15,""))</f>
        <v>44515</v>
      </c>
      <c r="C97" s="1725"/>
      <c r="D97" s="1451">
        <f>IF(DAY(Nov_Dim1)=1,IF(AND(YEAR(Nov_Dim1+9)=Année_Calendaire,MONTH(Nov_Dim1+9)=11),Nov_Dim1+9,""),IF(AND(YEAR(Nov_Dim1+16)=Année_Calendaire,MONTH(Nov_Dim1+16)=11),Nov_Dim1+16,""))</f>
        <v>44516</v>
      </c>
      <c r="E97" s="1725"/>
      <c r="F97" s="1451">
        <f>IF(DAY(Nov_Dim1)=1,IF(AND(YEAR(Nov_Dim1+10)=Année_Calendaire,MONTH(Nov_Dim1+10)=11),Nov_Dim1+10,""),IF(AND(YEAR(Nov_Dim1+17)=Année_Calendaire,MONTH(Nov_Dim1+17)=11),Nov_Dim1+17,""))</f>
        <v>44517</v>
      </c>
      <c r="G97" s="1725"/>
      <c r="H97" s="1451">
        <f>IF(DAY(Nov_Dim1)=1,IF(AND(YEAR(Nov_Dim1+11)=Année_Calendaire,MONTH(Nov_Dim1+11)=11),Nov_Dim1+11,""),IF(AND(YEAR(Nov_Dim1+18)=Année_Calendaire,MONTH(Nov_Dim1+18)=11),Nov_Dim1+18,""))</f>
        <v>44518</v>
      </c>
      <c r="I97" s="1725"/>
      <c r="J97" s="1451">
        <f>IF(DAY(Nov_Dim1)=1,IF(AND(YEAR(Nov_Dim1+12)=Année_Calendaire,MONTH(Nov_Dim1+12)=11),Nov_Dim1+12,""),IF(AND(YEAR(Nov_Dim1+19)=Année_Calendaire,MONTH(Nov_Dim1+19)=11),Nov_Dim1+19,""))</f>
        <v>44519</v>
      </c>
      <c r="K97" s="1725"/>
      <c r="L97" s="1444">
        <f>IF(DAY(Nov_Dim1)=1,IF(AND(YEAR(Nov_Dim1+13)=Année_Calendaire,MONTH(Nov_Dim1+13)=11),Nov_Dim1+13,""),IF(AND(YEAR(Nov_Dim1+20)=Année_Calendaire,MONTH(Nov_Dim1+20)=11),Nov_Dim1+20,""))</f>
        <v>44520</v>
      </c>
      <c r="M97" s="1725"/>
      <c r="N97" s="1441">
        <f>IF(DAY(Nov_Dim1)=1,IF(AND(YEAR(Nov_Dim1+14)=Année_Calendaire,MONTH(Nov_Dim1+14)=11),Nov_Dim1+14,""),IF(AND(YEAR(Nov_Dim1+21)=Année_Calendaire,MONTH(Nov_Dim1+21)=11),Nov_Dim1+21,""))</f>
        <v>44521</v>
      </c>
      <c r="O97" s="1725"/>
      <c r="P97" s="1329">
        <f>C97+E97+G97+I97+K97+M97+O97</f>
        <v>0</v>
      </c>
      <c r="Q97" s="389"/>
      <c r="R97" s="389"/>
      <c r="S97" s="389"/>
      <c r="T97" s="389"/>
      <c r="U97" s="389"/>
      <c r="V97" s="389"/>
      <c r="W97" s="389"/>
      <c r="X97" s="389"/>
      <c r="Y97" s="389"/>
      <c r="Z97" s="389"/>
      <c r="AC97"/>
      <c r="AD97"/>
      <c r="AE97"/>
      <c r="AF97"/>
      <c r="AG97"/>
      <c r="AH97"/>
    </row>
    <row r="98" spans="1:34" s="357" customFormat="1" ht="15" customHeight="1" x14ac:dyDescent="0.25">
      <c r="A98" s="377"/>
      <c r="B98" s="1446">
        <f>IF(DAY(Nov_Dim1)=1,IF(AND(YEAR(Nov_Dim1+15)=Année_Calendaire,MONTH(Nov_Dim1+15)=11),Nov_Dim1+15,""),IF(AND(YEAR(Nov_Dim1+22)=Année_Calendaire,MONTH(Nov_Dim1+22)=11),Nov_Dim1+22,""))</f>
        <v>44522</v>
      </c>
      <c r="C98" s="1725"/>
      <c r="D98" s="1450">
        <f>IF(DAY(Nov_Dim1)=1,IF(AND(YEAR(Nov_Dim1+16)=Année_Calendaire,MONTH(Nov_Dim1+16)=11),Nov_Dim1+16,""),IF(AND(YEAR(Nov_Dim1+23)=Année_Calendaire,MONTH(Nov_Dim1+23)=11),Nov_Dim1+23,""))</f>
        <v>44523</v>
      </c>
      <c r="E98" s="1725"/>
      <c r="F98" s="1450">
        <f>IF(DAY(Nov_Dim1)=1,IF(AND(YEAR(Nov_Dim1+17)=Année_Calendaire,MONTH(Nov_Dim1+17)=11),Nov_Dim1+17,""),IF(AND(YEAR(Nov_Dim1+24)=Année_Calendaire,MONTH(Nov_Dim1+24)=11),Nov_Dim1+24,""))</f>
        <v>44524</v>
      </c>
      <c r="G98" s="1725"/>
      <c r="H98" s="1450">
        <f>IF(DAY(Nov_Dim1)=1,IF(AND(YEAR(Nov_Dim1+18)=Année_Calendaire,MONTH(Nov_Dim1+18)=11),Nov_Dim1+18,""),IF(AND(YEAR(Nov_Dim1+25)=Année_Calendaire,MONTH(Nov_Dim1+25)=11),Nov_Dim1+25,""))</f>
        <v>44525</v>
      </c>
      <c r="I98" s="1725"/>
      <c r="J98" s="1450">
        <f>IF(DAY(Nov_Dim1)=1,IF(AND(YEAR(Nov_Dim1+19)=Année_Calendaire,MONTH(Nov_Dim1+19)=11),Nov_Dim1+19,""),IF(AND(YEAR(Nov_Dim1+26)=Année_Calendaire,MONTH(Nov_Dim1+26)=11),Nov_Dim1+26,""))</f>
        <v>44526</v>
      </c>
      <c r="K98" s="1725"/>
      <c r="L98" s="1443">
        <f>IF(DAY(Nov_Dim1)=1,IF(AND(YEAR(Nov_Dim1+20)=Année_Calendaire,MONTH(Nov_Dim1+20)=11),Nov_Dim1+20,""),IF(AND(YEAR(Nov_Dim1+27)=Année_Calendaire,MONTH(Nov_Dim1+27)=11),Nov_Dim1+27,""))</f>
        <v>44527</v>
      </c>
      <c r="M98" s="1725"/>
      <c r="N98" s="1440">
        <f>IF(DAY(Nov_Dim1)=1,IF(AND(YEAR(Nov_Dim1+21)=Année_Calendaire,MONTH(Nov_Dim1+21)=11),Nov_Dim1+21,""),IF(AND(YEAR(Nov_Dim1+28)=Année_Calendaire,MONTH(Nov_Dim1+28)=11),Nov_Dim1+28,""))</f>
        <v>44528</v>
      </c>
      <c r="O98" s="1725"/>
      <c r="P98" s="1329">
        <f>C98+E98+G98+I98+K98+M98+O98</f>
        <v>0</v>
      </c>
      <c r="Q98" s="389"/>
      <c r="R98" s="389"/>
      <c r="S98" s="389"/>
      <c r="T98" s="389"/>
      <c r="U98" s="389"/>
      <c r="V98" s="389"/>
      <c r="W98" s="389"/>
      <c r="X98" s="389"/>
      <c r="Y98" s="389"/>
      <c r="Z98" s="389"/>
      <c r="AC98"/>
      <c r="AD98"/>
      <c r="AE98"/>
      <c r="AF98"/>
      <c r="AG98"/>
      <c r="AH98"/>
    </row>
    <row r="99" spans="1:34" s="357" customFormat="1" ht="15" customHeight="1" thickBot="1" x14ac:dyDescent="0.3">
      <c r="A99" s="377"/>
      <c r="B99" s="1447">
        <f>IF(DAY(Nov_Dim1)=1,IF(AND(YEAR(Nov_Dim1+22)=Année_Calendaire,MONTH(Nov_Dim1+22)=11),Nov_Dim1+22,""),IF(AND(YEAR(Nov_Dim1+29)=Année_Calendaire,MONTH(Nov_Dim1+29)=11),Nov_Dim1+29,""))</f>
        <v>44529</v>
      </c>
      <c r="C99" s="1725"/>
      <c r="D99" s="1451">
        <f>IF(DAY(Nov_Dim1)=1,IF(AND(YEAR(Nov_Dim1+23)=Année_Calendaire,MONTH(Nov_Dim1+23)=11),Nov_Dim1+23,""),IF(AND(YEAR(Nov_Dim1+30)=Année_Calendaire,MONTH(Nov_Dim1+30)=11),Nov_Dim1+30,""))</f>
        <v>44530</v>
      </c>
      <c r="E99" s="1725"/>
      <c r="F99" s="1451" t="str">
        <f>IF(DAY(Nov_Dim1)=1,IF(AND(YEAR(Nov_Dim1+24)=Année_Calendaire,MONTH(Nov_Dim1+24)=11),Nov_Dim1+24,""),IF(AND(YEAR(Nov_Dim1+31)=Année_Calendaire,MONTH(Nov_Dim1+31)=11),Nov_Dim1+31,""))</f>
        <v/>
      </c>
      <c r="G99" s="1726"/>
      <c r="H99" s="1451" t="str">
        <f>IF(DAY(Nov_Dim1)=1,IF(AND(YEAR(Nov_Dim1+25)=Année_Calendaire,MONTH(Nov_Dim1+25)=11),Nov_Dim1+25,""),IF(AND(YEAR(Nov_Dim1+32)=Année_Calendaire,MONTH(Nov_Dim1+32)=11),Nov_Dim1+32,""))</f>
        <v/>
      </c>
      <c r="I99" s="1726"/>
      <c r="J99" s="1451" t="str">
        <f>IF(DAY(Nov_Dim1)=1,IF(AND(YEAR(Nov_Dim1+26)=Année_Calendaire,MONTH(Nov_Dim1+26)=11),Nov_Dim1+26,""),IF(AND(YEAR(Nov_Dim1+33)=Année_Calendaire,MONTH(Nov_Dim1+33)=11),Nov_Dim1+33,""))</f>
        <v/>
      </c>
      <c r="K99" s="1726"/>
      <c r="L99" s="1444" t="str">
        <f>IF(DAY(Nov_Dim1)=1,IF(AND(YEAR(Nov_Dim1+27)=Année_Calendaire,MONTH(Nov_Dim1+27)=11),Nov_Dim1+27,""),IF(AND(YEAR(Nov_Dim1+34)=Année_Calendaire,MONTH(Nov_Dim1+34)=11),Nov_Dim1+34,""))</f>
        <v/>
      </c>
      <c r="M99" s="1726"/>
      <c r="N99" s="1441" t="str">
        <f>IF(DAY(Nov_Dim1)=1,IF(AND(YEAR(Nov_Dim1+28)=Année_Calendaire,MONTH(Nov_Dim1+28)=11),Nov_Dim1+28,""),IF(AND(YEAR(Nov_Dim1+35)=Année_Calendaire,MONTH(Nov_Dim1+35)=11),Nov_Dim1+35,""))</f>
        <v/>
      </c>
      <c r="O99" s="1726"/>
      <c r="P99" s="1329">
        <f>C99+E99+G99+I99+K99+M99+O99</f>
        <v>0</v>
      </c>
      <c r="Q99" s="389"/>
      <c r="R99" s="389"/>
      <c r="S99" s="389"/>
      <c r="T99" s="389"/>
      <c r="U99" s="389"/>
      <c r="V99" s="389"/>
      <c r="W99" s="389"/>
      <c r="X99" s="389"/>
      <c r="Y99" s="389"/>
      <c r="Z99" s="389"/>
      <c r="AC99"/>
      <c r="AD99"/>
      <c r="AE99"/>
      <c r="AF99"/>
      <c r="AG99"/>
      <c r="AH99"/>
    </row>
    <row r="100" spans="1:34" s="357" customFormat="1" ht="15" customHeight="1" thickTop="1" thickBot="1" x14ac:dyDescent="0.3">
      <c r="A100" s="377"/>
      <c r="B100" s="1448" t="str">
        <f>IF(DAY(Nov_Dim1)=1,IF(AND(YEAR(Nov_Dim1+29)=Année_Calendaire,MONTH(Nov_Dim1+29)=11),Nov_Dim1+29,""),IF(AND(YEAR(Nov_Dim1+36)=Année_Calendaire,MONTH(Nov_Dim1+36)=11),Nov_Dim1+36,""))</f>
        <v/>
      </c>
      <c r="C100" s="1726"/>
      <c r="D100" s="1452" t="str">
        <f>IF(DAY(Nov_Dim1)=1,IF(AND(YEAR(Nov_Dim1+30)=Année_Calendaire,MONTH(Nov_Dim1+30)=11),Nov_Dim1+30,""),IF(AND(YEAR(Nov_Dim1+37)=Année_Calendaire,MONTH(Nov_Dim1+37)=11),Nov_Dim1+37,""))</f>
        <v/>
      </c>
      <c r="E100" s="1726"/>
      <c r="F100" s="373"/>
      <c r="G100" s="374"/>
      <c r="H100" s="375" t="s">
        <v>749</v>
      </c>
      <c r="I100" s="1585">
        <f>SUM(B101:O101)</f>
        <v>0</v>
      </c>
      <c r="J100" s="1585"/>
      <c r="K100" s="375">
        <f>COUNTA(C95:C100,E95:E100,G95:G99,I95:I99,K95:K99,M95:M99,O95:O99)</f>
        <v>0</v>
      </c>
      <c r="L100" s="374" t="s">
        <v>750</v>
      </c>
      <c r="M100" s="374"/>
      <c r="N100" s="375" t="s">
        <v>751</v>
      </c>
      <c r="O100" s="376" t="e">
        <f>I100/K100</f>
        <v>#DIV/0!</v>
      </c>
      <c r="P100" s="1330">
        <f>C100+E100</f>
        <v>0</v>
      </c>
      <c r="Q100" s="389"/>
      <c r="R100" s="389"/>
      <c r="S100" s="389"/>
      <c r="T100" s="389"/>
      <c r="U100" s="389"/>
      <c r="V100" s="389"/>
      <c r="W100" s="389"/>
      <c r="X100" s="389"/>
      <c r="Y100" s="389"/>
      <c r="Z100" s="389"/>
      <c r="AC100"/>
      <c r="AD100"/>
      <c r="AE100"/>
      <c r="AF100"/>
      <c r="AG100"/>
      <c r="AH100"/>
    </row>
    <row r="101" spans="1:34" s="357" customFormat="1" ht="15" customHeight="1" thickTop="1" thickBot="1" x14ac:dyDescent="0.3">
      <c r="A101" s="377"/>
      <c r="B101" s="1331"/>
      <c r="C101" s="1332">
        <f>SUM(C95:C100)</f>
        <v>0</v>
      </c>
      <c r="D101" s="1333"/>
      <c r="E101" s="1334">
        <f>SUM(E95:E100)</f>
        <v>0</v>
      </c>
      <c r="F101" s="1333"/>
      <c r="G101" s="1334">
        <f>SUM(G95:G99)</f>
        <v>0</v>
      </c>
      <c r="H101" s="1333"/>
      <c r="I101" s="1334">
        <f>SUM(I95:I99)</f>
        <v>0</v>
      </c>
      <c r="J101" s="1333"/>
      <c r="K101" s="1334">
        <f>SUM(K95:K99)</f>
        <v>0</v>
      </c>
      <c r="L101" s="1333"/>
      <c r="M101" s="1334">
        <f>SUM(M95:M99)</f>
        <v>0</v>
      </c>
      <c r="N101" s="1333"/>
      <c r="O101" s="1334">
        <f>SUM(O95:O99)</f>
        <v>0</v>
      </c>
      <c r="P101" s="1335"/>
      <c r="Q101" s="389"/>
      <c r="R101" s="389"/>
      <c r="S101" s="389"/>
      <c r="T101" s="389"/>
      <c r="U101" s="389"/>
      <c r="V101" s="389"/>
      <c r="W101" s="389"/>
      <c r="X101" s="389"/>
      <c r="Y101" s="389"/>
      <c r="Z101" s="389"/>
      <c r="AC101"/>
      <c r="AD101"/>
      <c r="AE101"/>
      <c r="AF101"/>
      <c r="AG101"/>
      <c r="AH101"/>
    </row>
    <row r="102" spans="1:34" ht="30" customHeight="1" x14ac:dyDescent="0.25">
      <c r="A102" s="371"/>
      <c r="B102" s="1590">
        <f>D106</f>
        <v>44544</v>
      </c>
      <c r="C102" s="1591"/>
      <c r="D102" s="1591"/>
      <c r="E102" s="1591"/>
      <c r="F102" s="1591"/>
      <c r="G102" s="1591"/>
      <c r="H102" s="1591"/>
      <c r="I102" s="1591"/>
      <c r="J102" s="1591"/>
      <c r="K102" s="1591"/>
      <c r="L102" s="1591"/>
      <c r="M102" s="1591"/>
      <c r="N102" s="1591"/>
      <c r="O102" s="1591"/>
      <c r="P102" s="1592"/>
      <c r="Q102" s="386"/>
      <c r="R102" s="386"/>
      <c r="S102" s="386"/>
      <c r="T102" s="386"/>
      <c r="U102" s="386"/>
      <c r="V102" s="386"/>
      <c r="W102" s="386"/>
      <c r="X102" s="386"/>
      <c r="Y102" s="386"/>
      <c r="Z102" s="386"/>
    </row>
    <row r="103" spans="1:34" s="377" customFormat="1" ht="29.25" customHeight="1" x14ac:dyDescent="0.25">
      <c r="B103" s="1586" t="s">
        <v>752</v>
      </c>
      <c r="C103" s="1587"/>
      <c r="D103" s="1587" t="s">
        <v>753</v>
      </c>
      <c r="E103" s="1587"/>
      <c r="F103" s="1587" t="s">
        <v>754</v>
      </c>
      <c r="G103" s="1587"/>
      <c r="H103" s="1587" t="s">
        <v>755</v>
      </c>
      <c r="I103" s="1587"/>
      <c r="J103" s="1587" t="s">
        <v>756</v>
      </c>
      <c r="K103" s="1587"/>
      <c r="L103" s="1588" t="s">
        <v>757</v>
      </c>
      <c r="M103" s="1588"/>
      <c r="N103" s="1589" t="s">
        <v>758</v>
      </c>
      <c r="O103" s="1589"/>
      <c r="P103" s="1327" t="s">
        <v>759</v>
      </c>
      <c r="Q103" s="389"/>
      <c r="R103" s="388"/>
      <c r="S103" s="388"/>
      <c r="T103" s="388"/>
      <c r="U103" s="388"/>
      <c r="V103" s="388"/>
      <c r="W103" s="388"/>
      <c r="X103" s="388"/>
      <c r="Y103" s="388"/>
      <c r="Z103" s="388"/>
      <c r="AC103"/>
      <c r="AD103"/>
      <c r="AE103"/>
      <c r="AF103"/>
      <c r="AG103"/>
      <c r="AH103"/>
    </row>
    <row r="104" spans="1:34" s="377" customFormat="1" ht="15" customHeight="1" x14ac:dyDescent="0.25">
      <c r="B104" s="1445" t="str">
        <f>IF(DAY(Déc_Dim1)=1,"",IF(AND(YEAR(Déc_Dim1+1)=Année_Calendaire,MONTH(Déc_Dim1+1)=12),Déc_Dim1+1,""))</f>
        <v/>
      </c>
      <c r="C104" s="1724"/>
      <c r="D104" s="1449" t="str">
        <f>IF(DAY(Déc_Dim1)=1,"",IF(AND(YEAR(Déc_Dim1+2)=Année_Calendaire,MONTH(Déc_Dim1+2)=12),Déc_Dim1+2,""))</f>
        <v/>
      </c>
      <c r="E104" s="1724"/>
      <c r="F104" s="1449">
        <f>IF(DAY(Déc_Dim1)=1,"",IF(AND(YEAR(Déc_Dim1+3)=Année_Calendaire,MONTH(Déc_Dim1+3)=12),Déc_Dim1+3,""))</f>
        <v>44531</v>
      </c>
      <c r="G104" s="1724"/>
      <c r="H104" s="1449">
        <f>IF(DAY(Déc_Dim1)=1,"",IF(AND(YEAR(Déc_Dim1+4)=Année_Calendaire,MONTH(Déc_Dim1+4)=12),Déc_Dim1+4,""))</f>
        <v>44532</v>
      </c>
      <c r="I104" s="1724"/>
      <c r="J104" s="1449">
        <f>IF(DAY(Déc_Dim1)=1,"",IF(AND(YEAR(Déc_Dim1+5)=Année_Calendaire,MONTH(Déc_Dim1+5)=12),Déc_Dim1+5,""))</f>
        <v>44533</v>
      </c>
      <c r="K104" s="1724"/>
      <c r="L104" s="1442">
        <f>IF(DAY(Déc_Dim1)=1,"",IF(AND(YEAR(Déc_Dim1+6)=Année_Calendaire,MONTH(Déc_Dim1+6)=12),Déc_Dim1+6,""))</f>
        <v>44534</v>
      </c>
      <c r="M104" s="1724"/>
      <c r="N104" s="1439">
        <f>IF(DAY(Déc_Dim1)=1,IF(AND(YEAR(Déc_Dim1)=Année_Calendaire,MONTH(Déc_Dim1)=12),Déc_Dim1,""),IF(AND(YEAR(Déc_Dim1+7)=Année_Calendaire,MONTH(Déc_Dim1+7)=12),Déc_Dim1+7,""))</f>
        <v>44535</v>
      </c>
      <c r="O104" s="1724"/>
      <c r="P104" s="1328">
        <f>C104+E104+G104+I104+K104+M104+O104</f>
        <v>0</v>
      </c>
      <c r="Q104" s="388"/>
      <c r="R104" s="388"/>
      <c r="S104" s="388"/>
      <c r="T104" s="388"/>
      <c r="U104" s="388"/>
      <c r="V104" s="388"/>
      <c r="W104" s="388"/>
      <c r="X104" s="388"/>
      <c r="Y104" s="388"/>
      <c r="Z104" s="388"/>
      <c r="AC104"/>
      <c r="AD104"/>
      <c r="AE104"/>
      <c r="AF104"/>
      <c r="AG104"/>
      <c r="AH104"/>
    </row>
    <row r="105" spans="1:34" s="357" customFormat="1" ht="15" customHeight="1" x14ac:dyDescent="0.25">
      <c r="A105" s="377"/>
      <c r="B105" s="1446">
        <f>IF(DAY(Déc_Dim1)=1,IF(AND(YEAR(Déc_Dim1+1)=Année_Calendaire,MONTH(Déc_Dim1+1)=12),Déc_Dim1+1,""),IF(AND(YEAR(Déc_Dim1+8)=Année_Calendaire,MONTH(Déc_Dim1+8)=12),Déc_Dim1+8,""))</f>
        <v>44536</v>
      </c>
      <c r="C105" s="1725"/>
      <c r="D105" s="1450">
        <f>IF(DAY(Déc_Dim1)=1,IF(AND(YEAR(Déc_Dim1+2)=Année_Calendaire,MONTH(Déc_Dim1+2)=12),Déc_Dim1+2,""),IF(AND(YEAR(Déc_Dim1+9)=Année_Calendaire,MONTH(Déc_Dim1+9)=12),Déc_Dim1+9,""))</f>
        <v>44537</v>
      </c>
      <c r="E105" s="1725"/>
      <c r="F105" s="1450">
        <f>IF(DAY(Déc_Dim1)=1,IF(AND(YEAR(Déc_Dim1+3)=Année_Calendaire,MONTH(Déc_Dim1+3)=12),Déc_Dim1+3,""),IF(AND(YEAR(Déc_Dim1+10)=Année_Calendaire,MONTH(Déc_Dim1+10)=12),Déc_Dim1+10,""))</f>
        <v>44538</v>
      </c>
      <c r="G105" s="1725"/>
      <c r="H105" s="1450">
        <f>IF(DAY(Déc_Dim1)=1,IF(AND(YEAR(Déc_Dim1+4)=Année_Calendaire,MONTH(Déc_Dim1+4)=12),Déc_Dim1+4,""),IF(AND(YEAR(Déc_Dim1+11)=Année_Calendaire,MONTH(Déc_Dim1+11)=12),Déc_Dim1+11,""))</f>
        <v>44539</v>
      </c>
      <c r="I105" s="1725"/>
      <c r="J105" s="1450">
        <f>IF(DAY(Déc_Dim1)=1,IF(AND(YEAR(Déc_Dim1+5)=Année_Calendaire,MONTH(Déc_Dim1+5)=12),Déc_Dim1+5,""),IF(AND(YEAR(Déc_Dim1+12)=Année_Calendaire,MONTH(Déc_Dim1+12)=12),Déc_Dim1+12,""))</f>
        <v>44540</v>
      </c>
      <c r="K105" s="1725"/>
      <c r="L105" s="1443">
        <f>IF(DAY(Déc_Dim1)=1,IF(AND(YEAR(Déc_Dim1+6)=Année_Calendaire,MONTH(Déc_Dim1+6)=12),Déc_Dim1+6,""),IF(AND(YEAR(Déc_Dim1+13)=Année_Calendaire,MONTH(Déc_Dim1+13)=12),Déc_Dim1+13,""))</f>
        <v>44541</v>
      </c>
      <c r="M105" s="1725"/>
      <c r="N105" s="1440">
        <f>IF(DAY(Déc_Dim1)=1,IF(AND(YEAR(Déc_Dim1+7)=Année_Calendaire,MONTH(Déc_Dim1+7)=12),Déc_Dim1+7,""),IF(AND(YEAR(Déc_Dim1+14)=Année_Calendaire,MONTH(Déc_Dim1+14)=12),Déc_Dim1+14,""))</f>
        <v>44542</v>
      </c>
      <c r="O105" s="1725"/>
      <c r="P105" s="1329">
        <f>C105+E105+G105+I105+K105+M105+O105</f>
        <v>0</v>
      </c>
      <c r="Q105" s="389"/>
      <c r="R105" s="389"/>
      <c r="S105" s="389"/>
      <c r="T105" s="389"/>
      <c r="U105" s="389"/>
      <c r="V105" s="389"/>
      <c r="W105" s="389"/>
      <c r="X105" s="389"/>
      <c r="Y105" s="389"/>
      <c r="Z105" s="389"/>
      <c r="AC105"/>
      <c r="AD105"/>
      <c r="AE105"/>
      <c r="AF105"/>
      <c r="AG105"/>
      <c r="AH105"/>
    </row>
    <row r="106" spans="1:34" s="357" customFormat="1" ht="15" customHeight="1" x14ac:dyDescent="0.25">
      <c r="A106" s="377"/>
      <c r="B106" s="1447">
        <f>IF(DAY(Déc_Dim1)=1,IF(AND(YEAR(Déc_Dim1+8)=Année_Calendaire,MONTH(Déc_Dim1+8)=12),Déc_Dim1+8,""),IF(AND(YEAR(Déc_Dim1+15)=Année_Calendaire,MONTH(Déc_Dim1+15)=12),Déc_Dim1+15,""))</f>
        <v>44543</v>
      </c>
      <c r="C106" s="1725"/>
      <c r="D106" s="1451">
        <f>IF(DAY(Déc_Dim1)=1,IF(AND(YEAR(Déc_Dim1+9)=Année_Calendaire,MONTH(Déc_Dim1+9)=12),Déc_Dim1+9,""),IF(AND(YEAR(Déc_Dim1+16)=Année_Calendaire,MONTH(Déc_Dim1+16)=12),Déc_Dim1+16,""))</f>
        <v>44544</v>
      </c>
      <c r="E106" s="1725"/>
      <c r="F106" s="1451">
        <f>IF(DAY(Déc_Dim1)=1,IF(AND(YEAR(Déc_Dim1+10)=Année_Calendaire,MONTH(Déc_Dim1+10)=12),Déc_Dim1+10,""),IF(AND(YEAR(Déc_Dim1+17)=Année_Calendaire,MONTH(Déc_Dim1+17)=12),Déc_Dim1+17,""))</f>
        <v>44545</v>
      </c>
      <c r="G106" s="1725"/>
      <c r="H106" s="1451">
        <f>IF(DAY(Déc_Dim1)=1,IF(AND(YEAR(Déc_Dim1+11)=Année_Calendaire,MONTH(Déc_Dim1+11)=12),Déc_Dim1+11,""),IF(AND(YEAR(Déc_Dim1+18)=Année_Calendaire,MONTH(Déc_Dim1+18)=12),Déc_Dim1+18,""))</f>
        <v>44546</v>
      </c>
      <c r="I106" s="1725"/>
      <c r="J106" s="1451">
        <f>IF(DAY(Déc_Dim1)=1,IF(AND(YEAR(Déc_Dim1+12)=Année_Calendaire,MONTH(Déc_Dim1+12)=12),Déc_Dim1+12,""),IF(AND(YEAR(Déc_Dim1+19)=Année_Calendaire,MONTH(Déc_Dim1+19)=12),Déc_Dim1+19,""))</f>
        <v>44547</v>
      </c>
      <c r="K106" s="1725"/>
      <c r="L106" s="1444">
        <f>IF(DAY(Déc_Dim1)=1,IF(AND(YEAR(Déc_Dim1+13)=Année_Calendaire,MONTH(Déc_Dim1+13)=12),Déc_Dim1+13,""),IF(AND(YEAR(Déc_Dim1+20)=Année_Calendaire,MONTH(Déc_Dim1+20)=12),Déc_Dim1+20,""))</f>
        <v>44548</v>
      </c>
      <c r="M106" s="1725"/>
      <c r="N106" s="1441">
        <f>IF(DAY(Déc_Dim1)=1,IF(AND(YEAR(Déc_Dim1+14)=Année_Calendaire,MONTH(Déc_Dim1+14)=12),Déc_Dim1+14,""),IF(AND(YEAR(Déc_Dim1+21)=Année_Calendaire,MONTH(Déc_Dim1+21)=12),Déc_Dim1+21,""))</f>
        <v>44549</v>
      </c>
      <c r="O106" s="1725"/>
      <c r="P106" s="1329">
        <f>C106+E106+G106+I106+K106+M106+O106</f>
        <v>0</v>
      </c>
      <c r="Q106" s="389"/>
      <c r="R106" s="389"/>
      <c r="S106" s="389"/>
      <c r="T106" s="389"/>
      <c r="U106" s="389"/>
      <c r="V106" s="389"/>
      <c r="W106" s="389"/>
      <c r="X106" s="389"/>
      <c r="Y106" s="389"/>
      <c r="Z106" s="389"/>
      <c r="AC106"/>
      <c r="AD106"/>
      <c r="AE106"/>
      <c r="AF106"/>
      <c r="AG106"/>
      <c r="AH106"/>
    </row>
    <row r="107" spans="1:34" s="357" customFormat="1" ht="15" customHeight="1" x14ac:dyDescent="0.25">
      <c r="A107" s="377"/>
      <c r="B107" s="1446">
        <f>IF(DAY(Déc_Dim1)=1,IF(AND(YEAR(Déc_Dim1+15)=Année_Calendaire,MONTH(Déc_Dim1+15)=12),Déc_Dim1+15,""),IF(AND(YEAR(Déc_Dim1+22)=Année_Calendaire,MONTH(Déc_Dim1+22)=12),Déc_Dim1+22,""))</f>
        <v>44550</v>
      </c>
      <c r="C107" s="1725"/>
      <c r="D107" s="1450">
        <f>IF(DAY(Déc_Dim1)=1,IF(AND(YEAR(Déc_Dim1+16)=Année_Calendaire,MONTH(Déc_Dim1+16)=12),Déc_Dim1+16,""),IF(AND(YEAR(Déc_Dim1+23)=Année_Calendaire,MONTH(Déc_Dim1+23)=12),Déc_Dim1+23,""))</f>
        <v>44551</v>
      </c>
      <c r="E107" s="1725"/>
      <c r="F107" s="1450">
        <f>IF(DAY(Déc_Dim1)=1,IF(AND(YEAR(Déc_Dim1+17)=Année_Calendaire,MONTH(Déc_Dim1+17)=12),Déc_Dim1+17,""),IF(AND(YEAR(Déc_Dim1+24)=Année_Calendaire,MONTH(Déc_Dim1+24)=12),Déc_Dim1+24,""))</f>
        <v>44552</v>
      </c>
      <c r="G107" s="1725"/>
      <c r="H107" s="1450">
        <f>IF(DAY(Déc_Dim1)=1,IF(AND(YEAR(Déc_Dim1+18)=Année_Calendaire,MONTH(Déc_Dim1+18)=12),Déc_Dim1+18,""),IF(AND(YEAR(Déc_Dim1+25)=Année_Calendaire,MONTH(Déc_Dim1+25)=12),Déc_Dim1+25,""))</f>
        <v>44553</v>
      </c>
      <c r="I107" s="1725"/>
      <c r="J107" s="1450">
        <f>IF(DAY(Déc_Dim1)=1,IF(AND(YEAR(Déc_Dim1+19)=Année_Calendaire,MONTH(Déc_Dim1+19)=12),Déc_Dim1+19,""),IF(AND(YEAR(Déc_Dim1+26)=Année_Calendaire,MONTH(Déc_Dim1+26)=12),Déc_Dim1+26,""))</f>
        <v>44554</v>
      </c>
      <c r="K107" s="1725"/>
      <c r="L107" s="1443">
        <f>IF(DAY(Déc_Dim1)=1,IF(AND(YEAR(Déc_Dim1+20)=Année_Calendaire,MONTH(Déc_Dim1+20)=12),Déc_Dim1+20,""),IF(AND(YEAR(Déc_Dim1+27)=Année_Calendaire,MONTH(Déc_Dim1+27)=12),Déc_Dim1+27,""))</f>
        <v>44555</v>
      </c>
      <c r="M107" s="1725"/>
      <c r="N107" s="1440">
        <f>IF(DAY(Déc_Dim1)=1,IF(AND(YEAR(Déc_Dim1+21)=Année_Calendaire,MONTH(Déc_Dim1+21)=12),Déc_Dim1+21,""),IF(AND(YEAR(Déc_Dim1+28)=Année_Calendaire,MONTH(Déc_Dim1+28)=12),Déc_Dim1+28,""))</f>
        <v>44556</v>
      </c>
      <c r="O107" s="1725"/>
      <c r="P107" s="1329">
        <f>C107+E107+G107+I107+K107+M107+O107</f>
        <v>0</v>
      </c>
      <c r="Q107" s="389"/>
      <c r="R107" s="389"/>
      <c r="S107" s="389"/>
      <c r="T107" s="389"/>
      <c r="U107" s="389"/>
      <c r="V107" s="389"/>
      <c r="W107" s="389"/>
      <c r="X107" s="389"/>
      <c r="Y107" s="389"/>
      <c r="Z107" s="389"/>
      <c r="AC107"/>
      <c r="AD107"/>
      <c r="AE107"/>
      <c r="AF107"/>
      <c r="AG107"/>
      <c r="AH107"/>
    </row>
    <row r="108" spans="1:34" s="357" customFormat="1" ht="15" customHeight="1" thickBot="1" x14ac:dyDescent="0.3">
      <c r="A108" s="377"/>
      <c r="B108" s="1447">
        <f>IF(DAY(Déc_Dim1)=1,IF(AND(YEAR(Déc_Dim1+22)=Année_Calendaire,MONTH(Déc_Dim1+22)=12),Déc_Dim1+22,""),IF(AND(YEAR(Déc_Dim1+29)=Année_Calendaire,MONTH(Déc_Dim1+29)=12),Déc_Dim1+29,""))</f>
        <v>44557</v>
      </c>
      <c r="C108" s="1725"/>
      <c r="D108" s="1451">
        <f>IF(DAY(Déc_Dim1)=1,IF(AND(YEAR(Déc_Dim1+23)=Année_Calendaire,MONTH(Déc_Dim1+23)=12),Déc_Dim1+23,""),IF(AND(YEAR(Déc_Dim1+30)=Année_Calendaire,MONTH(Déc_Dim1+30)=12),Déc_Dim1+30,""))</f>
        <v>44558</v>
      </c>
      <c r="E108" s="1725"/>
      <c r="F108" s="1451">
        <f>IF(DAY(Déc_Dim1)=1,IF(AND(YEAR(Déc_Dim1+24)=Année_Calendaire,MONTH(Déc_Dim1+24)=12),Déc_Dim1+24,""),IF(AND(YEAR(Déc_Dim1+31)=Année_Calendaire,MONTH(Déc_Dim1+31)=12),Déc_Dim1+31,""))</f>
        <v>44559</v>
      </c>
      <c r="G108" s="1726"/>
      <c r="H108" s="1451">
        <f>IF(DAY(Déc_Dim1)=1,IF(AND(YEAR(Déc_Dim1+25)=Année_Calendaire,MONTH(Déc_Dim1+25)=12),Déc_Dim1+25,""),IF(AND(YEAR(Déc_Dim1+32)=Année_Calendaire,MONTH(Déc_Dim1+32)=12),Déc_Dim1+32,""))</f>
        <v>44560</v>
      </c>
      <c r="I108" s="1726"/>
      <c r="J108" s="1451">
        <f>IF(DAY(Déc_Dim1)=1,IF(AND(YEAR(Déc_Dim1+26)=Année_Calendaire,MONTH(Déc_Dim1+26)=12),Déc_Dim1+26,""),IF(AND(YEAR(Déc_Dim1+33)=Année_Calendaire,MONTH(Déc_Dim1+33)=12),Déc_Dim1+33,""))</f>
        <v>44561</v>
      </c>
      <c r="K108" s="1726"/>
      <c r="L108" s="1444" t="str">
        <f>IF(DAY(Déc_Dim1)=1,IF(AND(YEAR(Déc_Dim1+27)=Année_Calendaire,MONTH(Déc_Dim1+27)=12),Déc_Dim1+27,""),IF(AND(YEAR(Déc_Dim1+34)=Année_Calendaire,MONTH(Déc_Dim1+34)=12),Déc_Dim1+34,""))</f>
        <v/>
      </c>
      <c r="M108" s="1726"/>
      <c r="N108" s="1441" t="str">
        <f>IF(DAY(Déc_Dim1)=1,IF(AND(YEAR(Déc_Dim1+28)=Année_Calendaire,MONTH(Déc_Dim1+28)=12),Déc_Dim1+28,""),IF(AND(YEAR(Déc_Dim1+35)=Année_Calendaire,MONTH(Déc_Dim1+35)=12),Déc_Dim1+35,""))</f>
        <v/>
      </c>
      <c r="O108" s="1726"/>
      <c r="P108" s="1329">
        <f>C108+E108+G108+I108+K108+M108+O108</f>
        <v>0</v>
      </c>
      <c r="Q108" s="389"/>
      <c r="R108" s="389"/>
      <c r="S108" s="389"/>
      <c r="T108" s="389"/>
      <c r="U108" s="389"/>
      <c r="V108" s="389"/>
      <c r="W108" s="389"/>
      <c r="X108" s="389"/>
      <c r="Y108" s="389"/>
      <c r="Z108" s="389"/>
      <c r="AC108"/>
      <c r="AD108"/>
      <c r="AE108"/>
      <c r="AF108"/>
      <c r="AG108"/>
      <c r="AH108"/>
    </row>
    <row r="109" spans="1:34" s="357" customFormat="1" ht="15" customHeight="1" thickTop="1" thickBot="1" x14ac:dyDescent="0.3">
      <c r="A109" s="377"/>
      <c r="B109" s="1448" t="str">
        <f>IF(DAY(Déc_Dim1)=1,IF(AND(YEAR(Déc_Dim1+29)=Année_Calendaire,MONTH(Déc_Dim1+29)=12),Déc_Dim1+29,""),IF(AND(YEAR(Déc_Dim1+36)=Année_Calendaire,MONTH(Déc_Dim1+36)=12),Déc_Dim1+36,""))</f>
        <v/>
      </c>
      <c r="C109" s="1726"/>
      <c r="D109" s="1452" t="str">
        <f>IF(DAY(Déc_Dim1)=1,IF(AND(YEAR(Déc_Dim1+30)=Année_Calendaire,MONTH(Déc_Dim1+30)=12),Déc_Dim1+30,""),IF(AND(YEAR(Déc_Dim1+37)=Année_Calendaire,MONTH(Déc_Dim1+37)=12),Déc_Dim1+37,""))</f>
        <v/>
      </c>
      <c r="E109" s="1726"/>
      <c r="F109" s="373"/>
      <c r="G109" s="374"/>
      <c r="H109" s="375" t="s">
        <v>749</v>
      </c>
      <c r="I109" s="1585">
        <f>SUM(B110:O110)</f>
        <v>0</v>
      </c>
      <c r="J109" s="1585"/>
      <c r="K109" s="375">
        <f>COUNTA(C104:C109,E104:E109,G104:G108,I104:I108,K104:K108,M104:M108,O104:O108)</f>
        <v>0</v>
      </c>
      <c r="L109" s="374" t="s">
        <v>750</v>
      </c>
      <c r="M109" s="374"/>
      <c r="N109" s="375" t="s">
        <v>751</v>
      </c>
      <c r="O109" s="376" t="e">
        <f>I109/K109</f>
        <v>#DIV/0!</v>
      </c>
      <c r="P109" s="1330">
        <f>C109+E109</f>
        <v>0</v>
      </c>
      <c r="Q109" s="389"/>
      <c r="R109" s="389"/>
      <c r="S109" s="389"/>
      <c r="T109" s="389"/>
      <c r="U109" s="389"/>
      <c r="V109" s="389"/>
      <c r="W109" s="389"/>
      <c r="X109" s="389"/>
      <c r="Y109" s="389"/>
      <c r="Z109" s="389"/>
      <c r="AC109"/>
      <c r="AD109"/>
      <c r="AE109"/>
      <c r="AF109"/>
      <c r="AG109"/>
      <c r="AH109"/>
    </row>
    <row r="110" spans="1:34" s="357" customFormat="1" ht="15" customHeight="1" thickTop="1" thickBot="1" x14ac:dyDescent="0.3">
      <c r="A110" s="377"/>
      <c r="B110" s="1331"/>
      <c r="C110" s="1332">
        <f>SUM(C104:C109)</f>
        <v>0</v>
      </c>
      <c r="D110" s="1333"/>
      <c r="E110" s="1334">
        <f>SUM(E104:E109)</f>
        <v>0</v>
      </c>
      <c r="F110" s="1333"/>
      <c r="G110" s="1334">
        <f>SUM(G104:G108)</f>
        <v>0</v>
      </c>
      <c r="H110" s="1333"/>
      <c r="I110" s="1334">
        <f>SUM(I104:I108)</f>
        <v>0</v>
      </c>
      <c r="J110" s="1333"/>
      <c r="K110" s="1334">
        <f>SUM(K104:K108)</f>
        <v>0</v>
      </c>
      <c r="L110" s="1333"/>
      <c r="M110" s="1334">
        <f>SUM(M104:M108)</f>
        <v>0</v>
      </c>
      <c r="N110" s="1333"/>
      <c r="O110" s="1334">
        <f>SUM(O104:O108)</f>
        <v>0</v>
      </c>
      <c r="P110" s="1335"/>
      <c r="Q110" s="389"/>
      <c r="R110" s="389"/>
      <c r="S110" s="389"/>
      <c r="T110" s="389"/>
      <c r="U110" s="389"/>
      <c r="V110" s="389"/>
      <c r="W110" s="389"/>
      <c r="X110" s="389"/>
      <c r="Y110" s="389"/>
      <c r="Z110" s="389"/>
      <c r="AC110"/>
      <c r="AD110"/>
      <c r="AE110"/>
      <c r="AF110"/>
      <c r="AG110"/>
      <c r="AH110"/>
    </row>
    <row r="111" spans="1:34" s="357" customFormat="1" ht="8.25" customHeight="1" x14ac:dyDescent="0.25">
      <c r="P111" s="378"/>
      <c r="Q111" s="389"/>
      <c r="R111" s="389"/>
      <c r="S111" s="389"/>
      <c r="T111" s="389"/>
      <c r="U111" s="389"/>
      <c r="V111" s="389"/>
      <c r="W111" s="389"/>
      <c r="X111" s="389"/>
      <c r="Y111" s="389"/>
      <c r="Z111" s="389"/>
      <c r="AC111"/>
      <c r="AD111"/>
      <c r="AE111"/>
      <c r="AF111"/>
      <c r="AG111"/>
      <c r="AH111"/>
    </row>
  </sheetData>
  <mergeCells count="116">
    <mergeCell ref="B2:E2"/>
    <mergeCell ref="AC2:AH3"/>
    <mergeCell ref="AC4:AE4"/>
    <mergeCell ref="AG4:AH4"/>
    <mergeCell ref="AG5:AH5"/>
    <mergeCell ref="AC20:AE20"/>
    <mergeCell ref="B93:P93"/>
    <mergeCell ref="B102:P102"/>
    <mergeCell ref="I2:J2"/>
    <mergeCell ref="B4:C4"/>
    <mergeCell ref="D4:E4"/>
    <mergeCell ref="F4:G4"/>
    <mergeCell ref="H4:I4"/>
    <mergeCell ref="J4:K4"/>
    <mergeCell ref="L4:M4"/>
    <mergeCell ref="N4:O4"/>
    <mergeCell ref="B3:P3"/>
    <mergeCell ref="I10:J10"/>
    <mergeCell ref="B13:C13"/>
    <mergeCell ref="D13:E13"/>
    <mergeCell ref="F13:G13"/>
    <mergeCell ref="H13:I13"/>
    <mergeCell ref="J13:K13"/>
    <mergeCell ref="L13:M13"/>
    <mergeCell ref="N13:O13"/>
    <mergeCell ref="B12:P12"/>
    <mergeCell ref="I19:J19"/>
    <mergeCell ref="B22:C22"/>
    <mergeCell ref="D22:E22"/>
    <mergeCell ref="F22:G22"/>
    <mergeCell ref="H22:I22"/>
    <mergeCell ref="J22:K22"/>
    <mergeCell ref="L22:M22"/>
    <mergeCell ref="N22:O22"/>
    <mergeCell ref="B21:P21"/>
    <mergeCell ref="I28:J28"/>
    <mergeCell ref="B31:C31"/>
    <mergeCell ref="D31:E31"/>
    <mergeCell ref="F31:G31"/>
    <mergeCell ref="H31:I31"/>
    <mergeCell ref="J31:K31"/>
    <mergeCell ref="L31:M31"/>
    <mergeCell ref="N31:O31"/>
    <mergeCell ref="B30:P30"/>
    <mergeCell ref="I37:J37"/>
    <mergeCell ref="B40:C40"/>
    <mergeCell ref="D40:E40"/>
    <mergeCell ref="F40:G40"/>
    <mergeCell ref="H40:I40"/>
    <mergeCell ref="J40:K40"/>
    <mergeCell ref="L40:M40"/>
    <mergeCell ref="N40:O40"/>
    <mergeCell ref="B39:P39"/>
    <mergeCell ref="I46:J46"/>
    <mergeCell ref="B49:C49"/>
    <mergeCell ref="D49:E49"/>
    <mergeCell ref="F49:G49"/>
    <mergeCell ref="H49:I49"/>
    <mergeCell ref="J49:K49"/>
    <mergeCell ref="L49:M49"/>
    <mergeCell ref="N49:O49"/>
    <mergeCell ref="B48:P48"/>
    <mergeCell ref="I55:J55"/>
    <mergeCell ref="B58:C58"/>
    <mergeCell ref="D58:E58"/>
    <mergeCell ref="F58:G58"/>
    <mergeCell ref="H58:I58"/>
    <mergeCell ref="J58:K58"/>
    <mergeCell ref="L58:M58"/>
    <mergeCell ref="N58:O58"/>
    <mergeCell ref="B57:P57"/>
    <mergeCell ref="I64:J64"/>
    <mergeCell ref="B67:C67"/>
    <mergeCell ref="D67:E67"/>
    <mergeCell ref="F67:G67"/>
    <mergeCell ref="H67:I67"/>
    <mergeCell ref="J67:K67"/>
    <mergeCell ref="L67:M67"/>
    <mergeCell ref="N67:O67"/>
    <mergeCell ref="B66:P66"/>
    <mergeCell ref="L85:M85"/>
    <mergeCell ref="N85:O85"/>
    <mergeCell ref="I73:J73"/>
    <mergeCell ref="B76:C76"/>
    <mergeCell ref="D76:E76"/>
    <mergeCell ref="F76:G76"/>
    <mergeCell ref="H76:I76"/>
    <mergeCell ref="J76:K76"/>
    <mergeCell ref="L76:M76"/>
    <mergeCell ref="N76:O76"/>
    <mergeCell ref="B75:P75"/>
    <mergeCell ref="B84:P84"/>
    <mergeCell ref="T14:U14"/>
    <mergeCell ref="I109:J109"/>
    <mergeCell ref="I100:J100"/>
    <mergeCell ref="B103:C103"/>
    <mergeCell ref="D103:E103"/>
    <mergeCell ref="F103:G103"/>
    <mergeCell ref="H103:I103"/>
    <mergeCell ref="J103:K103"/>
    <mergeCell ref="L103:M103"/>
    <mergeCell ref="N103:O103"/>
    <mergeCell ref="I91:J91"/>
    <mergeCell ref="B94:C94"/>
    <mergeCell ref="D94:E94"/>
    <mergeCell ref="F94:G94"/>
    <mergeCell ref="H94:I94"/>
    <mergeCell ref="J94:K94"/>
    <mergeCell ref="L94:M94"/>
    <mergeCell ref="N94:O94"/>
    <mergeCell ref="I82:J82"/>
    <mergeCell ref="B85:C85"/>
    <mergeCell ref="D85:E85"/>
    <mergeCell ref="F85:G85"/>
    <mergeCell ref="H85:I85"/>
    <mergeCell ref="J85:K85"/>
  </mergeCells>
  <conditionalFormatting sqref="AD21:AD34">
    <cfRule type="expression" dxfId="10" priority="1" stopIfTrue="1">
      <formula>WEEKDAY(AD21,2)=6</formula>
    </cfRule>
    <cfRule type="expression" dxfId="9" priority="2" stopIfTrue="1">
      <formula>WEEKDAY(AD21,2)=7</formula>
    </cfRule>
  </conditionalFormatting>
  <conditionalFormatting sqref="AD5:AD18">
    <cfRule type="expression" dxfId="8" priority="3" stopIfTrue="1">
      <formula>WEEKDAY(AD5,2)=6</formula>
    </cfRule>
    <cfRule type="expression" dxfId="7" priority="4" stopIfTrue="1">
      <formula>WEEKDAY(AD5,2)=7</formula>
    </cfRule>
  </conditionalFormatting>
  <printOptions horizontalCentered="1"/>
  <pageMargins left="0.39370078740157483" right="0.19685039370078741" top="0.19685039370078741" bottom="0.19685039370078741" header="0.11811023622047245" footer="0.11811023622047245"/>
  <pageSetup paperSize="9" orientation="portrait" r:id="rId1"/>
  <headerFooter alignWithMargins="0"/>
  <rowBreaks count="2" manualBreakCount="2">
    <brk id="38" max="16" man="1"/>
    <brk id="74"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11C7-F444-4932-8548-401074334D61}">
  <sheetPr codeName="Feuil22"/>
  <dimension ref="A1:AZ145"/>
  <sheetViews>
    <sheetView topLeftCell="Q1" zoomScaleNormal="100" workbookViewId="0">
      <selection activeCell="AR139" sqref="AR139"/>
    </sheetView>
  </sheetViews>
  <sheetFormatPr baseColWidth="10" defaultColWidth="7.5" defaultRowHeight="15" x14ac:dyDescent="0.25"/>
  <cols>
    <col min="1" max="1" width="1.75" style="355" customWidth="1"/>
    <col min="2" max="2" width="8.5" style="410" customWidth="1"/>
    <col min="3" max="3" width="3.125" style="410" customWidth="1"/>
    <col min="4" max="4" width="4" style="410" customWidth="1"/>
    <col min="5" max="5" width="3.125" style="410" customWidth="1"/>
    <col min="6" max="6" width="4" style="410" customWidth="1"/>
    <col min="7" max="7" width="3.125" style="410" customWidth="1"/>
    <col min="8" max="8" width="4" style="410" customWidth="1"/>
    <col min="9" max="9" width="3.125" style="410" customWidth="1"/>
    <col min="10" max="10" width="4" style="410" customWidth="1"/>
    <col min="11" max="11" width="3.125" style="410" customWidth="1"/>
    <col min="12" max="12" width="4" style="410" customWidth="1"/>
    <col min="13" max="13" width="3.125" style="410" customWidth="1"/>
    <col min="14" max="14" width="4" style="410" customWidth="1"/>
    <col min="15" max="16" width="3.375" style="410" customWidth="1"/>
    <col min="17" max="17" width="2.875" style="410" customWidth="1"/>
    <col min="18" max="18" width="8.375" style="410" customWidth="1"/>
    <col min="19" max="19" width="3.125" style="410" customWidth="1"/>
    <col min="20" max="20" width="4" style="410" customWidth="1"/>
    <col min="21" max="21" width="3.125" style="410" customWidth="1"/>
    <col min="22" max="22" width="4" style="410" customWidth="1"/>
    <col min="23" max="23" width="3.125" style="410" customWidth="1"/>
    <col min="24" max="24" width="4" style="410" customWidth="1"/>
    <col min="25" max="25" width="3.125" style="410" customWidth="1"/>
    <col min="26" max="26" width="4" style="410" customWidth="1"/>
    <col min="27" max="27" width="3.125" style="410" customWidth="1"/>
    <col min="28" max="28" width="4" style="410" customWidth="1"/>
    <col min="29" max="29" width="3.125" style="410" customWidth="1"/>
    <col min="30" max="30" width="4" style="410" customWidth="1"/>
    <col min="31" max="32" width="3.375" style="410" customWidth="1"/>
    <col min="33" max="33" width="1.125" style="355" customWidth="1"/>
    <col min="34" max="34" width="7.5" style="355"/>
    <col min="35" max="35" width="3.875" style="394" customWidth="1"/>
    <col min="36" max="41" width="3" style="394" customWidth="1"/>
    <col min="42" max="42" width="8.5" style="355" customWidth="1"/>
    <col min="43" max="45" width="7.5" style="355"/>
    <col min="46" max="46" width="15" style="355" customWidth="1"/>
    <col min="47" max="47" width="32.75" style="355" customWidth="1"/>
    <col min="48" max="48" width="29" style="355" customWidth="1"/>
    <col min="49" max="49" width="2.25" style="355" customWidth="1"/>
    <col min="50" max="50" width="16.125" style="355" customWidth="1"/>
    <col min="51" max="51" width="13.125" style="355" customWidth="1"/>
    <col min="52" max="52" width="7.5" style="394"/>
    <col min="53" max="247" width="7.5" style="355"/>
    <col min="248" max="248" width="1.75" style="355" customWidth="1"/>
    <col min="249" max="249" width="8.5" style="355" customWidth="1"/>
    <col min="250" max="250" width="3.125" style="355" customWidth="1"/>
    <col min="251" max="251" width="4" style="355" customWidth="1"/>
    <col min="252" max="252" width="3.125" style="355" customWidth="1"/>
    <col min="253" max="253" width="4" style="355" customWidth="1"/>
    <col min="254" max="254" width="3.125" style="355" customWidth="1"/>
    <col min="255" max="255" width="4" style="355" customWidth="1"/>
    <col min="256" max="256" width="3.125" style="355" customWidth="1"/>
    <col min="257" max="257" width="4" style="355" customWidth="1"/>
    <col min="258" max="258" width="3.125" style="355" customWidth="1"/>
    <col min="259" max="259" width="4" style="355" customWidth="1"/>
    <col min="260" max="260" width="3.125" style="355" customWidth="1"/>
    <col min="261" max="261" width="4" style="355" customWidth="1"/>
    <col min="262" max="263" width="3.375" style="355" customWidth="1"/>
    <col min="264" max="264" width="2.875" style="355" customWidth="1"/>
    <col min="265" max="265" width="8.375" style="355" customWidth="1"/>
    <col min="266" max="266" width="3.125" style="355" customWidth="1"/>
    <col min="267" max="267" width="4" style="355" customWidth="1"/>
    <col min="268" max="268" width="3.125" style="355" customWidth="1"/>
    <col min="269" max="269" width="4" style="355" customWidth="1"/>
    <col min="270" max="270" width="3.125" style="355" customWidth="1"/>
    <col min="271" max="271" width="4" style="355" customWidth="1"/>
    <col min="272" max="272" width="3.125" style="355" customWidth="1"/>
    <col min="273" max="273" width="4" style="355" customWidth="1"/>
    <col min="274" max="274" width="3.125" style="355" customWidth="1"/>
    <col min="275" max="275" width="4" style="355" customWidth="1"/>
    <col min="276" max="276" width="3.125" style="355" customWidth="1"/>
    <col min="277" max="277" width="4" style="355" customWidth="1"/>
    <col min="278" max="279" width="3.375" style="355" customWidth="1"/>
    <col min="280" max="280" width="1.125" style="355" customWidth="1"/>
    <col min="281" max="281" width="7.5" style="355"/>
    <col min="282" max="282" width="3.5" style="355" customWidth="1"/>
    <col min="283" max="288" width="3" style="355" customWidth="1"/>
    <col min="289" max="289" width="8.5" style="355" customWidth="1"/>
    <col min="290" max="503" width="7.5" style="355"/>
    <col min="504" max="504" width="1.75" style="355" customWidth="1"/>
    <col min="505" max="505" width="8.5" style="355" customWidth="1"/>
    <col min="506" max="506" width="3.125" style="355" customWidth="1"/>
    <col min="507" max="507" width="4" style="355" customWidth="1"/>
    <col min="508" max="508" width="3.125" style="355" customWidth="1"/>
    <col min="509" max="509" width="4" style="355" customWidth="1"/>
    <col min="510" max="510" width="3.125" style="355" customWidth="1"/>
    <col min="511" max="511" width="4" style="355" customWidth="1"/>
    <col min="512" max="512" width="3.125" style="355" customWidth="1"/>
    <col min="513" max="513" width="4" style="355" customWidth="1"/>
    <col min="514" max="514" width="3.125" style="355" customWidth="1"/>
    <col min="515" max="515" width="4" style="355" customWidth="1"/>
    <col min="516" max="516" width="3.125" style="355" customWidth="1"/>
    <col min="517" max="517" width="4" style="355" customWidth="1"/>
    <col min="518" max="519" width="3.375" style="355" customWidth="1"/>
    <col min="520" max="520" width="2.875" style="355" customWidth="1"/>
    <col min="521" max="521" width="8.375" style="355" customWidth="1"/>
    <col min="522" max="522" width="3.125" style="355" customWidth="1"/>
    <col min="523" max="523" width="4" style="355" customWidth="1"/>
    <col min="524" max="524" width="3.125" style="355" customWidth="1"/>
    <col min="525" max="525" width="4" style="355" customWidth="1"/>
    <col min="526" max="526" width="3.125" style="355" customWidth="1"/>
    <col min="527" max="527" width="4" style="355" customWidth="1"/>
    <col min="528" max="528" width="3.125" style="355" customWidth="1"/>
    <col min="529" max="529" width="4" style="355" customWidth="1"/>
    <col min="530" max="530" width="3.125" style="355" customWidth="1"/>
    <col min="531" max="531" width="4" style="355" customWidth="1"/>
    <col min="532" max="532" width="3.125" style="355" customWidth="1"/>
    <col min="533" max="533" width="4" style="355" customWidth="1"/>
    <col min="534" max="535" width="3.375" style="355" customWidth="1"/>
    <col min="536" max="536" width="1.125" style="355" customWidth="1"/>
    <col min="537" max="537" width="7.5" style="355"/>
    <col min="538" max="538" width="3.5" style="355" customWidth="1"/>
    <col min="539" max="544" width="3" style="355" customWidth="1"/>
    <col min="545" max="545" width="8.5" style="355" customWidth="1"/>
    <col min="546" max="759" width="7.5" style="355"/>
    <col min="760" max="760" width="1.75" style="355" customWidth="1"/>
    <col min="761" max="761" width="8.5" style="355" customWidth="1"/>
    <col min="762" max="762" width="3.125" style="355" customWidth="1"/>
    <col min="763" max="763" width="4" style="355" customWidth="1"/>
    <col min="764" max="764" width="3.125" style="355" customWidth="1"/>
    <col min="765" max="765" width="4" style="355" customWidth="1"/>
    <col min="766" max="766" width="3.125" style="355" customWidth="1"/>
    <col min="767" max="767" width="4" style="355" customWidth="1"/>
    <col min="768" max="768" width="3.125" style="355" customWidth="1"/>
    <col min="769" max="769" width="4" style="355" customWidth="1"/>
    <col min="770" max="770" width="3.125" style="355" customWidth="1"/>
    <col min="771" max="771" width="4" style="355" customWidth="1"/>
    <col min="772" max="772" width="3.125" style="355" customWidth="1"/>
    <col min="773" max="773" width="4" style="355" customWidth="1"/>
    <col min="774" max="775" width="3.375" style="355" customWidth="1"/>
    <col min="776" max="776" width="2.875" style="355" customWidth="1"/>
    <col min="777" max="777" width="8.375" style="355" customWidth="1"/>
    <col min="778" max="778" width="3.125" style="355" customWidth="1"/>
    <col min="779" max="779" width="4" style="355" customWidth="1"/>
    <col min="780" max="780" width="3.125" style="355" customWidth="1"/>
    <col min="781" max="781" width="4" style="355" customWidth="1"/>
    <col min="782" max="782" width="3.125" style="355" customWidth="1"/>
    <col min="783" max="783" width="4" style="355" customWidth="1"/>
    <col min="784" max="784" width="3.125" style="355" customWidth="1"/>
    <col min="785" max="785" width="4" style="355" customWidth="1"/>
    <col min="786" max="786" width="3.125" style="355" customWidth="1"/>
    <col min="787" max="787" width="4" style="355" customWidth="1"/>
    <col min="788" max="788" width="3.125" style="355" customWidth="1"/>
    <col min="789" max="789" width="4" style="355" customWidth="1"/>
    <col min="790" max="791" width="3.375" style="355" customWidth="1"/>
    <col min="792" max="792" width="1.125" style="355" customWidth="1"/>
    <col min="793" max="793" width="7.5" style="355"/>
    <col min="794" max="794" width="3.5" style="355" customWidth="1"/>
    <col min="795" max="800" width="3" style="355" customWidth="1"/>
    <col min="801" max="801" width="8.5" style="355" customWidth="1"/>
    <col min="802" max="1015" width="7.5" style="355"/>
    <col min="1016" max="1016" width="1.75" style="355" customWidth="1"/>
    <col min="1017" max="1017" width="8.5" style="355" customWidth="1"/>
    <col min="1018" max="1018" width="3.125" style="355" customWidth="1"/>
    <col min="1019" max="1019" width="4" style="355" customWidth="1"/>
    <col min="1020" max="1020" width="3.125" style="355" customWidth="1"/>
    <col min="1021" max="1021" width="4" style="355" customWidth="1"/>
    <col min="1022" max="1022" width="3.125" style="355" customWidth="1"/>
    <col min="1023" max="1023" width="4" style="355" customWidth="1"/>
    <col min="1024" max="1024" width="3.125" style="355" customWidth="1"/>
    <col min="1025" max="1025" width="4" style="355" customWidth="1"/>
    <col min="1026" max="1026" width="3.125" style="355" customWidth="1"/>
    <col min="1027" max="1027" width="4" style="355" customWidth="1"/>
    <col min="1028" max="1028" width="3.125" style="355" customWidth="1"/>
    <col min="1029" max="1029" width="4" style="355" customWidth="1"/>
    <col min="1030" max="1031" width="3.375" style="355" customWidth="1"/>
    <col min="1032" max="1032" width="2.875" style="355" customWidth="1"/>
    <col min="1033" max="1033" width="8.375" style="355" customWidth="1"/>
    <col min="1034" max="1034" width="3.125" style="355" customWidth="1"/>
    <col min="1035" max="1035" width="4" style="355" customWidth="1"/>
    <col min="1036" max="1036" width="3.125" style="355" customWidth="1"/>
    <col min="1037" max="1037" width="4" style="355" customWidth="1"/>
    <col min="1038" max="1038" width="3.125" style="355" customWidth="1"/>
    <col min="1039" max="1039" width="4" style="355" customWidth="1"/>
    <col min="1040" max="1040" width="3.125" style="355" customWidth="1"/>
    <col min="1041" max="1041" width="4" style="355" customWidth="1"/>
    <col min="1042" max="1042" width="3.125" style="355" customWidth="1"/>
    <col min="1043" max="1043" width="4" style="355" customWidth="1"/>
    <col min="1044" max="1044" width="3.125" style="355" customWidth="1"/>
    <col min="1045" max="1045" width="4" style="355" customWidth="1"/>
    <col min="1046" max="1047" width="3.375" style="355" customWidth="1"/>
    <col min="1048" max="1048" width="1.125" style="355" customWidth="1"/>
    <col min="1049" max="1049" width="7.5" style="355"/>
    <col min="1050" max="1050" width="3.5" style="355" customWidth="1"/>
    <col min="1051" max="1056" width="3" style="355" customWidth="1"/>
    <col min="1057" max="1057" width="8.5" style="355" customWidth="1"/>
    <col min="1058" max="1271" width="7.5" style="355"/>
    <col min="1272" max="1272" width="1.75" style="355" customWidth="1"/>
    <col min="1273" max="1273" width="8.5" style="355" customWidth="1"/>
    <col min="1274" max="1274" width="3.125" style="355" customWidth="1"/>
    <col min="1275" max="1275" width="4" style="355" customWidth="1"/>
    <col min="1276" max="1276" width="3.125" style="355" customWidth="1"/>
    <col min="1277" max="1277" width="4" style="355" customWidth="1"/>
    <col min="1278" max="1278" width="3.125" style="355" customWidth="1"/>
    <col min="1279" max="1279" width="4" style="355" customWidth="1"/>
    <col min="1280" max="1280" width="3.125" style="355" customWidth="1"/>
    <col min="1281" max="1281" width="4" style="355" customWidth="1"/>
    <col min="1282" max="1282" width="3.125" style="355" customWidth="1"/>
    <col min="1283" max="1283" width="4" style="355" customWidth="1"/>
    <col min="1284" max="1284" width="3.125" style="355" customWidth="1"/>
    <col min="1285" max="1285" width="4" style="355" customWidth="1"/>
    <col min="1286" max="1287" width="3.375" style="355" customWidth="1"/>
    <col min="1288" max="1288" width="2.875" style="355" customWidth="1"/>
    <col min="1289" max="1289" width="8.375" style="355" customWidth="1"/>
    <col min="1290" max="1290" width="3.125" style="355" customWidth="1"/>
    <col min="1291" max="1291" width="4" style="355" customWidth="1"/>
    <col min="1292" max="1292" width="3.125" style="355" customWidth="1"/>
    <col min="1293" max="1293" width="4" style="355" customWidth="1"/>
    <col min="1294" max="1294" width="3.125" style="355" customWidth="1"/>
    <col min="1295" max="1295" width="4" style="355" customWidth="1"/>
    <col min="1296" max="1296" width="3.125" style="355" customWidth="1"/>
    <col min="1297" max="1297" width="4" style="355" customWidth="1"/>
    <col min="1298" max="1298" width="3.125" style="355" customWidth="1"/>
    <col min="1299" max="1299" width="4" style="355" customWidth="1"/>
    <col min="1300" max="1300" width="3.125" style="355" customWidth="1"/>
    <col min="1301" max="1301" width="4" style="355" customWidth="1"/>
    <col min="1302" max="1303" width="3.375" style="355" customWidth="1"/>
    <col min="1304" max="1304" width="1.125" style="355" customWidth="1"/>
    <col min="1305" max="1305" width="7.5" style="355"/>
    <col min="1306" max="1306" width="3.5" style="355" customWidth="1"/>
    <col min="1307" max="1312" width="3" style="355" customWidth="1"/>
    <col min="1313" max="1313" width="8.5" style="355" customWidth="1"/>
    <col min="1314" max="1527" width="7.5" style="355"/>
    <col min="1528" max="1528" width="1.75" style="355" customWidth="1"/>
    <col min="1529" max="1529" width="8.5" style="355" customWidth="1"/>
    <col min="1530" max="1530" width="3.125" style="355" customWidth="1"/>
    <col min="1531" max="1531" width="4" style="355" customWidth="1"/>
    <col min="1532" max="1532" width="3.125" style="355" customWidth="1"/>
    <col min="1533" max="1533" width="4" style="355" customWidth="1"/>
    <col min="1534" max="1534" width="3.125" style="355" customWidth="1"/>
    <col min="1535" max="1535" width="4" style="355" customWidth="1"/>
    <col min="1536" max="1536" width="3.125" style="355" customWidth="1"/>
    <col min="1537" max="1537" width="4" style="355" customWidth="1"/>
    <col min="1538" max="1538" width="3.125" style="355" customWidth="1"/>
    <col min="1539" max="1539" width="4" style="355" customWidth="1"/>
    <col min="1540" max="1540" width="3.125" style="355" customWidth="1"/>
    <col min="1541" max="1541" width="4" style="355" customWidth="1"/>
    <col min="1542" max="1543" width="3.375" style="355" customWidth="1"/>
    <col min="1544" max="1544" width="2.875" style="355" customWidth="1"/>
    <col min="1545" max="1545" width="8.375" style="355" customWidth="1"/>
    <col min="1546" max="1546" width="3.125" style="355" customWidth="1"/>
    <col min="1547" max="1547" width="4" style="355" customWidth="1"/>
    <col min="1548" max="1548" width="3.125" style="355" customWidth="1"/>
    <col min="1549" max="1549" width="4" style="355" customWidth="1"/>
    <col min="1550" max="1550" width="3.125" style="355" customWidth="1"/>
    <col min="1551" max="1551" width="4" style="355" customWidth="1"/>
    <col min="1552" max="1552" width="3.125" style="355" customWidth="1"/>
    <col min="1553" max="1553" width="4" style="355" customWidth="1"/>
    <col min="1554" max="1554" width="3.125" style="355" customWidth="1"/>
    <col min="1555" max="1555" width="4" style="355" customWidth="1"/>
    <col min="1556" max="1556" width="3.125" style="355" customWidth="1"/>
    <col min="1557" max="1557" width="4" style="355" customWidth="1"/>
    <col min="1558" max="1559" width="3.375" style="355" customWidth="1"/>
    <col min="1560" max="1560" width="1.125" style="355" customWidth="1"/>
    <col min="1561" max="1561" width="7.5" style="355"/>
    <col min="1562" max="1562" width="3.5" style="355" customWidth="1"/>
    <col min="1563" max="1568" width="3" style="355" customWidth="1"/>
    <col min="1569" max="1569" width="8.5" style="355" customWidth="1"/>
    <col min="1570" max="1783" width="7.5" style="355"/>
    <col min="1784" max="1784" width="1.75" style="355" customWidth="1"/>
    <col min="1785" max="1785" width="8.5" style="355" customWidth="1"/>
    <col min="1786" max="1786" width="3.125" style="355" customWidth="1"/>
    <col min="1787" max="1787" width="4" style="355" customWidth="1"/>
    <col min="1788" max="1788" width="3.125" style="355" customWidth="1"/>
    <col min="1789" max="1789" width="4" style="355" customWidth="1"/>
    <col min="1790" max="1790" width="3.125" style="355" customWidth="1"/>
    <col min="1791" max="1791" width="4" style="355" customWidth="1"/>
    <col min="1792" max="1792" width="3.125" style="355" customWidth="1"/>
    <col min="1793" max="1793" width="4" style="355" customWidth="1"/>
    <col min="1794" max="1794" width="3.125" style="355" customWidth="1"/>
    <col min="1795" max="1795" width="4" style="355" customWidth="1"/>
    <col min="1796" max="1796" width="3.125" style="355" customWidth="1"/>
    <col min="1797" max="1797" width="4" style="355" customWidth="1"/>
    <col min="1798" max="1799" width="3.375" style="355" customWidth="1"/>
    <col min="1800" max="1800" width="2.875" style="355" customWidth="1"/>
    <col min="1801" max="1801" width="8.375" style="355" customWidth="1"/>
    <col min="1802" max="1802" width="3.125" style="355" customWidth="1"/>
    <col min="1803" max="1803" width="4" style="355" customWidth="1"/>
    <col min="1804" max="1804" width="3.125" style="355" customWidth="1"/>
    <col min="1805" max="1805" width="4" style="355" customWidth="1"/>
    <col min="1806" max="1806" width="3.125" style="355" customWidth="1"/>
    <col min="1807" max="1807" width="4" style="355" customWidth="1"/>
    <col min="1808" max="1808" width="3.125" style="355" customWidth="1"/>
    <col min="1809" max="1809" width="4" style="355" customWidth="1"/>
    <col min="1810" max="1810" width="3.125" style="355" customWidth="1"/>
    <col min="1811" max="1811" width="4" style="355" customWidth="1"/>
    <col min="1812" max="1812" width="3.125" style="355" customWidth="1"/>
    <col min="1813" max="1813" width="4" style="355" customWidth="1"/>
    <col min="1814" max="1815" width="3.375" style="355" customWidth="1"/>
    <col min="1816" max="1816" width="1.125" style="355" customWidth="1"/>
    <col min="1817" max="1817" width="7.5" style="355"/>
    <col min="1818" max="1818" width="3.5" style="355" customWidth="1"/>
    <col min="1819" max="1824" width="3" style="355" customWidth="1"/>
    <col min="1825" max="1825" width="8.5" style="355" customWidth="1"/>
    <col min="1826" max="2039" width="7.5" style="355"/>
    <col min="2040" max="2040" width="1.75" style="355" customWidth="1"/>
    <col min="2041" max="2041" width="8.5" style="355" customWidth="1"/>
    <col min="2042" max="2042" width="3.125" style="355" customWidth="1"/>
    <col min="2043" max="2043" width="4" style="355" customWidth="1"/>
    <col min="2044" max="2044" width="3.125" style="355" customWidth="1"/>
    <col min="2045" max="2045" width="4" style="355" customWidth="1"/>
    <col min="2046" max="2046" width="3.125" style="355" customWidth="1"/>
    <col min="2047" max="2047" width="4" style="355" customWidth="1"/>
    <col min="2048" max="2048" width="3.125" style="355" customWidth="1"/>
    <col min="2049" max="2049" width="4" style="355" customWidth="1"/>
    <col min="2050" max="2050" width="3.125" style="355" customWidth="1"/>
    <col min="2051" max="2051" width="4" style="355" customWidth="1"/>
    <col min="2052" max="2052" width="3.125" style="355" customWidth="1"/>
    <col min="2053" max="2053" width="4" style="355" customWidth="1"/>
    <col min="2054" max="2055" width="3.375" style="355" customWidth="1"/>
    <col min="2056" max="2056" width="2.875" style="355" customWidth="1"/>
    <col min="2057" max="2057" width="8.375" style="355" customWidth="1"/>
    <col min="2058" max="2058" width="3.125" style="355" customWidth="1"/>
    <col min="2059" max="2059" width="4" style="355" customWidth="1"/>
    <col min="2060" max="2060" width="3.125" style="355" customWidth="1"/>
    <col min="2061" max="2061" width="4" style="355" customWidth="1"/>
    <col min="2062" max="2062" width="3.125" style="355" customWidth="1"/>
    <col min="2063" max="2063" width="4" style="355" customWidth="1"/>
    <col min="2064" max="2064" width="3.125" style="355" customWidth="1"/>
    <col min="2065" max="2065" width="4" style="355" customWidth="1"/>
    <col min="2066" max="2066" width="3.125" style="355" customWidth="1"/>
    <col min="2067" max="2067" width="4" style="355" customWidth="1"/>
    <col min="2068" max="2068" width="3.125" style="355" customWidth="1"/>
    <col min="2069" max="2069" width="4" style="355" customWidth="1"/>
    <col min="2070" max="2071" width="3.375" style="355" customWidth="1"/>
    <col min="2072" max="2072" width="1.125" style="355" customWidth="1"/>
    <col min="2073" max="2073" width="7.5" style="355"/>
    <col min="2074" max="2074" width="3.5" style="355" customWidth="1"/>
    <col min="2075" max="2080" width="3" style="355" customWidth="1"/>
    <col min="2081" max="2081" width="8.5" style="355" customWidth="1"/>
    <col min="2082" max="2295" width="7.5" style="355"/>
    <col min="2296" max="2296" width="1.75" style="355" customWidth="1"/>
    <col min="2297" max="2297" width="8.5" style="355" customWidth="1"/>
    <col min="2298" max="2298" width="3.125" style="355" customWidth="1"/>
    <col min="2299" max="2299" width="4" style="355" customWidth="1"/>
    <col min="2300" max="2300" width="3.125" style="355" customWidth="1"/>
    <col min="2301" max="2301" width="4" style="355" customWidth="1"/>
    <col min="2302" max="2302" width="3.125" style="355" customWidth="1"/>
    <col min="2303" max="2303" width="4" style="355" customWidth="1"/>
    <col min="2304" max="2304" width="3.125" style="355" customWidth="1"/>
    <col min="2305" max="2305" width="4" style="355" customWidth="1"/>
    <col min="2306" max="2306" width="3.125" style="355" customWidth="1"/>
    <col min="2307" max="2307" width="4" style="355" customWidth="1"/>
    <col min="2308" max="2308" width="3.125" style="355" customWidth="1"/>
    <col min="2309" max="2309" width="4" style="355" customWidth="1"/>
    <col min="2310" max="2311" width="3.375" style="355" customWidth="1"/>
    <col min="2312" max="2312" width="2.875" style="355" customWidth="1"/>
    <col min="2313" max="2313" width="8.375" style="355" customWidth="1"/>
    <col min="2314" max="2314" width="3.125" style="355" customWidth="1"/>
    <col min="2315" max="2315" width="4" style="355" customWidth="1"/>
    <col min="2316" max="2316" width="3.125" style="355" customWidth="1"/>
    <col min="2317" max="2317" width="4" style="355" customWidth="1"/>
    <col min="2318" max="2318" width="3.125" style="355" customWidth="1"/>
    <col min="2319" max="2319" width="4" style="355" customWidth="1"/>
    <col min="2320" max="2320" width="3.125" style="355" customWidth="1"/>
    <col min="2321" max="2321" width="4" style="355" customWidth="1"/>
    <col min="2322" max="2322" width="3.125" style="355" customWidth="1"/>
    <col min="2323" max="2323" width="4" style="355" customWidth="1"/>
    <col min="2324" max="2324" width="3.125" style="355" customWidth="1"/>
    <col min="2325" max="2325" width="4" style="355" customWidth="1"/>
    <col min="2326" max="2327" width="3.375" style="355" customWidth="1"/>
    <col min="2328" max="2328" width="1.125" style="355" customWidth="1"/>
    <col min="2329" max="2329" width="7.5" style="355"/>
    <col min="2330" max="2330" width="3.5" style="355" customWidth="1"/>
    <col min="2331" max="2336" width="3" style="355" customWidth="1"/>
    <col min="2337" max="2337" width="8.5" style="355" customWidth="1"/>
    <col min="2338" max="2551" width="7.5" style="355"/>
    <col min="2552" max="2552" width="1.75" style="355" customWidth="1"/>
    <col min="2553" max="2553" width="8.5" style="355" customWidth="1"/>
    <col min="2554" max="2554" width="3.125" style="355" customWidth="1"/>
    <col min="2555" max="2555" width="4" style="355" customWidth="1"/>
    <col min="2556" max="2556" width="3.125" style="355" customWidth="1"/>
    <col min="2557" max="2557" width="4" style="355" customWidth="1"/>
    <col min="2558" max="2558" width="3.125" style="355" customWidth="1"/>
    <col min="2559" max="2559" width="4" style="355" customWidth="1"/>
    <col min="2560" max="2560" width="3.125" style="355" customWidth="1"/>
    <col min="2561" max="2561" width="4" style="355" customWidth="1"/>
    <col min="2562" max="2562" width="3.125" style="355" customWidth="1"/>
    <col min="2563" max="2563" width="4" style="355" customWidth="1"/>
    <col min="2564" max="2564" width="3.125" style="355" customWidth="1"/>
    <col min="2565" max="2565" width="4" style="355" customWidth="1"/>
    <col min="2566" max="2567" width="3.375" style="355" customWidth="1"/>
    <col min="2568" max="2568" width="2.875" style="355" customWidth="1"/>
    <col min="2569" max="2569" width="8.375" style="355" customWidth="1"/>
    <col min="2570" max="2570" width="3.125" style="355" customWidth="1"/>
    <col min="2571" max="2571" width="4" style="355" customWidth="1"/>
    <col min="2572" max="2572" width="3.125" style="355" customWidth="1"/>
    <col min="2573" max="2573" width="4" style="355" customWidth="1"/>
    <col min="2574" max="2574" width="3.125" style="355" customWidth="1"/>
    <col min="2575" max="2575" width="4" style="355" customWidth="1"/>
    <col min="2576" max="2576" width="3.125" style="355" customWidth="1"/>
    <col min="2577" max="2577" width="4" style="355" customWidth="1"/>
    <col min="2578" max="2578" width="3.125" style="355" customWidth="1"/>
    <col min="2579" max="2579" width="4" style="355" customWidth="1"/>
    <col min="2580" max="2580" width="3.125" style="355" customWidth="1"/>
    <col min="2581" max="2581" width="4" style="355" customWidth="1"/>
    <col min="2582" max="2583" width="3.375" style="355" customWidth="1"/>
    <col min="2584" max="2584" width="1.125" style="355" customWidth="1"/>
    <col min="2585" max="2585" width="7.5" style="355"/>
    <col min="2586" max="2586" width="3.5" style="355" customWidth="1"/>
    <col min="2587" max="2592" width="3" style="355" customWidth="1"/>
    <col min="2593" max="2593" width="8.5" style="355" customWidth="1"/>
    <col min="2594" max="2807" width="7.5" style="355"/>
    <col min="2808" max="2808" width="1.75" style="355" customWidth="1"/>
    <col min="2809" max="2809" width="8.5" style="355" customWidth="1"/>
    <col min="2810" max="2810" width="3.125" style="355" customWidth="1"/>
    <col min="2811" max="2811" width="4" style="355" customWidth="1"/>
    <col min="2812" max="2812" width="3.125" style="355" customWidth="1"/>
    <col min="2813" max="2813" width="4" style="355" customWidth="1"/>
    <col min="2814" max="2814" width="3.125" style="355" customWidth="1"/>
    <col min="2815" max="2815" width="4" style="355" customWidth="1"/>
    <col min="2816" max="2816" width="3.125" style="355" customWidth="1"/>
    <col min="2817" max="2817" width="4" style="355" customWidth="1"/>
    <col min="2818" max="2818" width="3.125" style="355" customWidth="1"/>
    <col min="2819" max="2819" width="4" style="355" customWidth="1"/>
    <col min="2820" max="2820" width="3.125" style="355" customWidth="1"/>
    <col min="2821" max="2821" width="4" style="355" customWidth="1"/>
    <col min="2822" max="2823" width="3.375" style="355" customWidth="1"/>
    <col min="2824" max="2824" width="2.875" style="355" customWidth="1"/>
    <col min="2825" max="2825" width="8.375" style="355" customWidth="1"/>
    <col min="2826" max="2826" width="3.125" style="355" customWidth="1"/>
    <col min="2827" max="2827" width="4" style="355" customWidth="1"/>
    <col min="2828" max="2828" width="3.125" style="355" customWidth="1"/>
    <col min="2829" max="2829" width="4" style="355" customWidth="1"/>
    <col min="2830" max="2830" width="3.125" style="355" customWidth="1"/>
    <col min="2831" max="2831" width="4" style="355" customWidth="1"/>
    <col min="2832" max="2832" width="3.125" style="355" customWidth="1"/>
    <col min="2833" max="2833" width="4" style="355" customWidth="1"/>
    <col min="2834" max="2834" width="3.125" style="355" customWidth="1"/>
    <col min="2835" max="2835" width="4" style="355" customWidth="1"/>
    <col min="2836" max="2836" width="3.125" style="355" customWidth="1"/>
    <col min="2837" max="2837" width="4" style="355" customWidth="1"/>
    <col min="2838" max="2839" width="3.375" style="355" customWidth="1"/>
    <col min="2840" max="2840" width="1.125" style="355" customWidth="1"/>
    <col min="2841" max="2841" width="7.5" style="355"/>
    <col min="2842" max="2842" width="3.5" style="355" customWidth="1"/>
    <col min="2843" max="2848" width="3" style="355" customWidth="1"/>
    <col min="2849" max="2849" width="8.5" style="355" customWidth="1"/>
    <col min="2850" max="3063" width="7.5" style="355"/>
    <col min="3064" max="3064" width="1.75" style="355" customWidth="1"/>
    <col min="3065" max="3065" width="8.5" style="355" customWidth="1"/>
    <col min="3066" max="3066" width="3.125" style="355" customWidth="1"/>
    <col min="3067" max="3067" width="4" style="355" customWidth="1"/>
    <col min="3068" max="3068" width="3.125" style="355" customWidth="1"/>
    <col min="3069" max="3069" width="4" style="355" customWidth="1"/>
    <col min="3070" max="3070" width="3.125" style="355" customWidth="1"/>
    <col min="3071" max="3071" width="4" style="355" customWidth="1"/>
    <col min="3072" max="3072" width="3.125" style="355" customWidth="1"/>
    <col min="3073" max="3073" width="4" style="355" customWidth="1"/>
    <col min="3074" max="3074" width="3.125" style="355" customWidth="1"/>
    <col min="3075" max="3075" width="4" style="355" customWidth="1"/>
    <col min="3076" max="3076" width="3.125" style="355" customWidth="1"/>
    <col min="3077" max="3077" width="4" style="355" customWidth="1"/>
    <col min="3078" max="3079" width="3.375" style="355" customWidth="1"/>
    <col min="3080" max="3080" width="2.875" style="355" customWidth="1"/>
    <col min="3081" max="3081" width="8.375" style="355" customWidth="1"/>
    <col min="3082" max="3082" width="3.125" style="355" customWidth="1"/>
    <col min="3083" max="3083" width="4" style="355" customWidth="1"/>
    <col min="3084" max="3084" width="3.125" style="355" customWidth="1"/>
    <col min="3085" max="3085" width="4" style="355" customWidth="1"/>
    <col min="3086" max="3086" width="3.125" style="355" customWidth="1"/>
    <col min="3087" max="3087" width="4" style="355" customWidth="1"/>
    <col min="3088" max="3088" width="3.125" style="355" customWidth="1"/>
    <col min="3089" max="3089" width="4" style="355" customWidth="1"/>
    <col min="3090" max="3090" width="3.125" style="355" customWidth="1"/>
    <col min="3091" max="3091" width="4" style="355" customWidth="1"/>
    <col min="3092" max="3092" width="3.125" style="355" customWidth="1"/>
    <col min="3093" max="3093" width="4" style="355" customWidth="1"/>
    <col min="3094" max="3095" width="3.375" style="355" customWidth="1"/>
    <col min="3096" max="3096" width="1.125" style="355" customWidth="1"/>
    <col min="3097" max="3097" width="7.5" style="355"/>
    <col min="3098" max="3098" width="3.5" style="355" customWidth="1"/>
    <col min="3099" max="3104" width="3" style="355" customWidth="1"/>
    <col min="3105" max="3105" width="8.5" style="355" customWidth="1"/>
    <col min="3106" max="3319" width="7.5" style="355"/>
    <col min="3320" max="3320" width="1.75" style="355" customWidth="1"/>
    <col min="3321" max="3321" width="8.5" style="355" customWidth="1"/>
    <col min="3322" max="3322" width="3.125" style="355" customWidth="1"/>
    <col min="3323" max="3323" width="4" style="355" customWidth="1"/>
    <col min="3324" max="3324" width="3.125" style="355" customWidth="1"/>
    <col min="3325" max="3325" width="4" style="355" customWidth="1"/>
    <col min="3326" max="3326" width="3.125" style="355" customWidth="1"/>
    <col min="3327" max="3327" width="4" style="355" customWidth="1"/>
    <col min="3328" max="3328" width="3.125" style="355" customWidth="1"/>
    <col min="3329" max="3329" width="4" style="355" customWidth="1"/>
    <col min="3330" max="3330" width="3.125" style="355" customWidth="1"/>
    <col min="3331" max="3331" width="4" style="355" customWidth="1"/>
    <col min="3332" max="3332" width="3.125" style="355" customWidth="1"/>
    <col min="3333" max="3333" width="4" style="355" customWidth="1"/>
    <col min="3334" max="3335" width="3.375" style="355" customWidth="1"/>
    <col min="3336" max="3336" width="2.875" style="355" customWidth="1"/>
    <col min="3337" max="3337" width="8.375" style="355" customWidth="1"/>
    <col min="3338" max="3338" width="3.125" style="355" customWidth="1"/>
    <col min="3339" max="3339" width="4" style="355" customWidth="1"/>
    <col min="3340" max="3340" width="3.125" style="355" customWidth="1"/>
    <col min="3341" max="3341" width="4" style="355" customWidth="1"/>
    <col min="3342" max="3342" width="3.125" style="355" customWidth="1"/>
    <col min="3343" max="3343" width="4" style="355" customWidth="1"/>
    <col min="3344" max="3344" width="3.125" style="355" customWidth="1"/>
    <col min="3345" max="3345" width="4" style="355" customWidth="1"/>
    <col min="3346" max="3346" width="3.125" style="355" customWidth="1"/>
    <col min="3347" max="3347" width="4" style="355" customWidth="1"/>
    <col min="3348" max="3348" width="3.125" style="355" customWidth="1"/>
    <col min="3349" max="3349" width="4" style="355" customWidth="1"/>
    <col min="3350" max="3351" width="3.375" style="355" customWidth="1"/>
    <col min="3352" max="3352" width="1.125" style="355" customWidth="1"/>
    <col min="3353" max="3353" width="7.5" style="355"/>
    <col min="3354" max="3354" width="3.5" style="355" customWidth="1"/>
    <col min="3355" max="3360" width="3" style="355" customWidth="1"/>
    <col min="3361" max="3361" width="8.5" style="355" customWidth="1"/>
    <col min="3362" max="3575" width="7.5" style="355"/>
    <col min="3576" max="3576" width="1.75" style="355" customWidth="1"/>
    <col min="3577" max="3577" width="8.5" style="355" customWidth="1"/>
    <col min="3578" max="3578" width="3.125" style="355" customWidth="1"/>
    <col min="3579" max="3579" width="4" style="355" customWidth="1"/>
    <col min="3580" max="3580" width="3.125" style="355" customWidth="1"/>
    <col min="3581" max="3581" width="4" style="355" customWidth="1"/>
    <col min="3582" max="3582" width="3.125" style="355" customWidth="1"/>
    <col min="3583" max="3583" width="4" style="355" customWidth="1"/>
    <col min="3584" max="3584" width="3.125" style="355" customWidth="1"/>
    <col min="3585" max="3585" width="4" style="355" customWidth="1"/>
    <col min="3586" max="3586" width="3.125" style="355" customWidth="1"/>
    <col min="3587" max="3587" width="4" style="355" customWidth="1"/>
    <col min="3588" max="3588" width="3.125" style="355" customWidth="1"/>
    <col min="3589" max="3589" width="4" style="355" customWidth="1"/>
    <col min="3590" max="3591" width="3.375" style="355" customWidth="1"/>
    <col min="3592" max="3592" width="2.875" style="355" customWidth="1"/>
    <col min="3593" max="3593" width="8.375" style="355" customWidth="1"/>
    <col min="3594" max="3594" width="3.125" style="355" customWidth="1"/>
    <col min="3595" max="3595" width="4" style="355" customWidth="1"/>
    <col min="3596" max="3596" width="3.125" style="355" customWidth="1"/>
    <col min="3597" max="3597" width="4" style="355" customWidth="1"/>
    <col min="3598" max="3598" width="3.125" style="355" customWidth="1"/>
    <col min="3599" max="3599" width="4" style="355" customWidth="1"/>
    <col min="3600" max="3600" width="3.125" style="355" customWidth="1"/>
    <col min="3601" max="3601" width="4" style="355" customWidth="1"/>
    <col min="3602" max="3602" width="3.125" style="355" customWidth="1"/>
    <col min="3603" max="3603" width="4" style="355" customWidth="1"/>
    <col min="3604" max="3604" width="3.125" style="355" customWidth="1"/>
    <col min="3605" max="3605" width="4" style="355" customWidth="1"/>
    <col min="3606" max="3607" width="3.375" style="355" customWidth="1"/>
    <col min="3608" max="3608" width="1.125" style="355" customWidth="1"/>
    <col min="3609" max="3609" width="7.5" style="355"/>
    <col min="3610" max="3610" width="3.5" style="355" customWidth="1"/>
    <col min="3611" max="3616" width="3" style="355" customWidth="1"/>
    <col min="3617" max="3617" width="8.5" style="355" customWidth="1"/>
    <col min="3618" max="3831" width="7.5" style="355"/>
    <col min="3832" max="3832" width="1.75" style="355" customWidth="1"/>
    <col min="3833" max="3833" width="8.5" style="355" customWidth="1"/>
    <col min="3834" max="3834" width="3.125" style="355" customWidth="1"/>
    <col min="3835" max="3835" width="4" style="355" customWidth="1"/>
    <col min="3836" max="3836" width="3.125" style="355" customWidth="1"/>
    <col min="3837" max="3837" width="4" style="355" customWidth="1"/>
    <col min="3838" max="3838" width="3.125" style="355" customWidth="1"/>
    <col min="3839" max="3839" width="4" style="355" customWidth="1"/>
    <col min="3840" max="3840" width="3.125" style="355" customWidth="1"/>
    <col min="3841" max="3841" width="4" style="355" customWidth="1"/>
    <col min="3842" max="3842" width="3.125" style="355" customWidth="1"/>
    <col min="3843" max="3843" width="4" style="355" customWidth="1"/>
    <col min="3844" max="3844" width="3.125" style="355" customWidth="1"/>
    <col min="3845" max="3845" width="4" style="355" customWidth="1"/>
    <col min="3846" max="3847" width="3.375" style="355" customWidth="1"/>
    <col min="3848" max="3848" width="2.875" style="355" customWidth="1"/>
    <col min="3849" max="3849" width="8.375" style="355" customWidth="1"/>
    <col min="3850" max="3850" width="3.125" style="355" customWidth="1"/>
    <col min="3851" max="3851" width="4" style="355" customWidth="1"/>
    <col min="3852" max="3852" width="3.125" style="355" customWidth="1"/>
    <col min="3853" max="3853" width="4" style="355" customWidth="1"/>
    <col min="3854" max="3854" width="3.125" style="355" customWidth="1"/>
    <col min="3855" max="3855" width="4" style="355" customWidth="1"/>
    <col min="3856" max="3856" width="3.125" style="355" customWidth="1"/>
    <col min="3857" max="3857" width="4" style="355" customWidth="1"/>
    <col min="3858" max="3858" width="3.125" style="355" customWidth="1"/>
    <col min="3859" max="3859" width="4" style="355" customWidth="1"/>
    <col min="3860" max="3860" width="3.125" style="355" customWidth="1"/>
    <col min="3861" max="3861" width="4" style="355" customWidth="1"/>
    <col min="3862" max="3863" width="3.375" style="355" customWidth="1"/>
    <col min="3864" max="3864" width="1.125" style="355" customWidth="1"/>
    <col min="3865" max="3865" width="7.5" style="355"/>
    <col min="3866" max="3866" width="3.5" style="355" customWidth="1"/>
    <col min="3867" max="3872" width="3" style="355" customWidth="1"/>
    <col min="3873" max="3873" width="8.5" style="355" customWidth="1"/>
    <col min="3874" max="4087" width="7.5" style="355"/>
    <col min="4088" max="4088" width="1.75" style="355" customWidth="1"/>
    <col min="4089" max="4089" width="8.5" style="355" customWidth="1"/>
    <col min="4090" max="4090" width="3.125" style="355" customWidth="1"/>
    <col min="4091" max="4091" width="4" style="355" customWidth="1"/>
    <col min="4092" max="4092" width="3.125" style="355" customWidth="1"/>
    <col min="4093" max="4093" width="4" style="355" customWidth="1"/>
    <col min="4094" max="4094" width="3.125" style="355" customWidth="1"/>
    <col min="4095" max="4095" width="4" style="355" customWidth="1"/>
    <col min="4096" max="4096" width="3.125" style="355" customWidth="1"/>
    <col min="4097" max="4097" width="4" style="355" customWidth="1"/>
    <col min="4098" max="4098" width="3.125" style="355" customWidth="1"/>
    <col min="4099" max="4099" width="4" style="355" customWidth="1"/>
    <col min="4100" max="4100" width="3.125" style="355" customWidth="1"/>
    <col min="4101" max="4101" width="4" style="355" customWidth="1"/>
    <col min="4102" max="4103" width="3.375" style="355" customWidth="1"/>
    <col min="4104" max="4104" width="2.875" style="355" customWidth="1"/>
    <col min="4105" max="4105" width="8.375" style="355" customWidth="1"/>
    <col min="4106" max="4106" width="3.125" style="355" customWidth="1"/>
    <col min="4107" max="4107" width="4" style="355" customWidth="1"/>
    <col min="4108" max="4108" width="3.125" style="355" customWidth="1"/>
    <col min="4109" max="4109" width="4" style="355" customWidth="1"/>
    <col min="4110" max="4110" width="3.125" style="355" customWidth="1"/>
    <col min="4111" max="4111" width="4" style="355" customWidth="1"/>
    <col min="4112" max="4112" width="3.125" style="355" customWidth="1"/>
    <col min="4113" max="4113" width="4" style="355" customWidth="1"/>
    <col min="4114" max="4114" width="3.125" style="355" customWidth="1"/>
    <col min="4115" max="4115" width="4" style="355" customWidth="1"/>
    <col min="4116" max="4116" width="3.125" style="355" customWidth="1"/>
    <col min="4117" max="4117" width="4" style="355" customWidth="1"/>
    <col min="4118" max="4119" width="3.375" style="355" customWidth="1"/>
    <col min="4120" max="4120" width="1.125" style="355" customWidth="1"/>
    <col min="4121" max="4121" width="7.5" style="355"/>
    <col min="4122" max="4122" width="3.5" style="355" customWidth="1"/>
    <col min="4123" max="4128" width="3" style="355" customWidth="1"/>
    <col min="4129" max="4129" width="8.5" style="355" customWidth="1"/>
    <col min="4130" max="4343" width="7.5" style="355"/>
    <col min="4344" max="4344" width="1.75" style="355" customWidth="1"/>
    <col min="4345" max="4345" width="8.5" style="355" customWidth="1"/>
    <col min="4346" max="4346" width="3.125" style="355" customWidth="1"/>
    <col min="4347" max="4347" width="4" style="355" customWidth="1"/>
    <col min="4348" max="4348" width="3.125" style="355" customWidth="1"/>
    <col min="4349" max="4349" width="4" style="355" customWidth="1"/>
    <col min="4350" max="4350" width="3.125" style="355" customWidth="1"/>
    <col min="4351" max="4351" width="4" style="355" customWidth="1"/>
    <col min="4352" max="4352" width="3.125" style="355" customWidth="1"/>
    <col min="4353" max="4353" width="4" style="355" customWidth="1"/>
    <col min="4354" max="4354" width="3.125" style="355" customWidth="1"/>
    <col min="4355" max="4355" width="4" style="355" customWidth="1"/>
    <col min="4356" max="4356" width="3.125" style="355" customWidth="1"/>
    <col min="4357" max="4357" width="4" style="355" customWidth="1"/>
    <col min="4358" max="4359" width="3.375" style="355" customWidth="1"/>
    <col min="4360" max="4360" width="2.875" style="355" customWidth="1"/>
    <col min="4361" max="4361" width="8.375" style="355" customWidth="1"/>
    <col min="4362" max="4362" width="3.125" style="355" customWidth="1"/>
    <col min="4363" max="4363" width="4" style="355" customWidth="1"/>
    <col min="4364" max="4364" width="3.125" style="355" customWidth="1"/>
    <col min="4365" max="4365" width="4" style="355" customWidth="1"/>
    <col min="4366" max="4366" width="3.125" style="355" customWidth="1"/>
    <col min="4367" max="4367" width="4" style="355" customWidth="1"/>
    <col min="4368" max="4368" width="3.125" style="355" customWidth="1"/>
    <col min="4369" max="4369" width="4" style="355" customWidth="1"/>
    <col min="4370" max="4370" width="3.125" style="355" customWidth="1"/>
    <col min="4371" max="4371" width="4" style="355" customWidth="1"/>
    <col min="4372" max="4372" width="3.125" style="355" customWidth="1"/>
    <col min="4373" max="4373" width="4" style="355" customWidth="1"/>
    <col min="4374" max="4375" width="3.375" style="355" customWidth="1"/>
    <col min="4376" max="4376" width="1.125" style="355" customWidth="1"/>
    <col min="4377" max="4377" width="7.5" style="355"/>
    <col min="4378" max="4378" width="3.5" style="355" customWidth="1"/>
    <col min="4379" max="4384" width="3" style="355" customWidth="1"/>
    <col min="4385" max="4385" width="8.5" style="355" customWidth="1"/>
    <col min="4386" max="4599" width="7.5" style="355"/>
    <col min="4600" max="4600" width="1.75" style="355" customWidth="1"/>
    <col min="4601" max="4601" width="8.5" style="355" customWidth="1"/>
    <col min="4602" max="4602" width="3.125" style="355" customWidth="1"/>
    <col min="4603" max="4603" width="4" style="355" customWidth="1"/>
    <col min="4604" max="4604" width="3.125" style="355" customWidth="1"/>
    <col min="4605" max="4605" width="4" style="355" customWidth="1"/>
    <col min="4606" max="4606" width="3.125" style="355" customWidth="1"/>
    <col min="4607" max="4607" width="4" style="355" customWidth="1"/>
    <col min="4608" max="4608" width="3.125" style="355" customWidth="1"/>
    <col min="4609" max="4609" width="4" style="355" customWidth="1"/>
    <col min="4610" max="4610" width="3.125" style="355" customWidth="1"/>
    <col min="4611" max="4611" width="4" style="355" customWidth="1"/>
    <col min="4612" max="4612" width="3.125" style="355" customWidth="1"/>
    <col min="4613" max="4613" width="4" style="355" customWidth="1"/>
    <col min="4614" max="4615" width="3.375" style="355" customWidth="1"/>
    <col min="4616" max="4616" width="2.875" style="355" customWidth="1"/>
    <col min="4617" max="4617" width="8.375" style="355" customWidth="1"/>
    <col min="4618" max="4618" width="3.125" style="355" customWidth="1"/>
    <col min="4619" max="4619" width="4" style="355" customWidth="1"/>
    <col min="4620" max="4620" width="3.125" style="355" customWidth="1"/>
    <col min="4621" max="4621" width="4" style="355" customWidth="1"/>
    <col min="4622" max="4622" width="3.125" style="355" customWidth="1"/>
    <col min="4623" max="4623" width="4" style="355" customWidth="1"/>
    <col min="4624" max="4624" width="3.125" style="355" customWidth="1"/>
    <col min="4625" max="4625" width="4" style="355" customWidth="1"/>
    <col min="4626" max="4626" width="3.125" style="355" customWidth="1"/>
    <col min="4627" max="4627" width="4" style="355" customWidth="1"/>
    <col min="4628" max="4628" width="3.125" style="355" customWidth="1"/>
    <col min="4629" max="4629" width="4" style="355" customWidth="1"/>
    <col min="4630" max="4631" width="3.375" style="355" customWidth="1"/>
    <col min="4632" max="4632" width="1.125" style="355" customWidth="1"/>
    <col min="4633" max="4633" width="7.5" style="355"/>
    <col min="4634" max="4634" width="3.5" style="355" customWidth="1"/>
    <col min="4635" max="4640" width="3" style="355" customWidth="1"/>
    <col min="4641" max="4641" width="8.5" style="355" customWidth="1"/>
    <col min="4642" max="4855" width="7.5" style="355"/>
    <col min="4856" max="4856" width="1.75" style="355" customWidth="1"/>
    <col min="4857" max="4857" width="8.5" style="355" customWidth="1"/>
    <col min="4858" max="4858" width="3.125" style="355" customWidth="1"/>
    <col min="4859" max="4859" width="4" style="355" customWidth="1"/>
    <col min="4860" max="4860" width="3.125" style="355" customWidth="1"/>
    <col min="4861" max="4861" width="4" style="355" customWidth="1"/>
    <col min="4862" max="4862" width="3.125" style="355" customWidth="1"/>
    <col min="4863" max="4863" width="4" style="355" customWidth="1"/>
    <col min="4864" max="4864" width="3.125" style="355" customWidth="1"/>
    <col min="4865" max="4865" width="4" style="355" customWidth="1"/>
    <col min="4866" max="4866" width="3.125" style="355" customWidth="1"/>
    <col min="4867" max="4867" width="4" style="355" customWidth="1"/>
    <col min="4868" max="4868" width="3.125" style="355" customWidth="1"/>
    <col min="4869" max="4869" width="4" style="355" customWidth="1"/>
    <col min="4870" max="4871" width="3.375" style="355" customWidth="1"/>
    <col min="4872" max="4872" width="2.875" style="355" customWidth="1"/>
    <col min="4873" max="4873" width="8.375" style="355" customWidth="1"/>
    <col min="4874" max="4874" width="3.125" style="355" customWidth="1"/>
    <col min="4875" max="4875" width="4" style="355" customWidth="1"/>
    <col min="4876" max="4876" width="3.125" style="355" customWidth="1"/>
    <col min="4877" max="4877" width="4" style="355" customWidth="1"/>
    <col min="4878" max="4878" width="3.125" style="355" customWidth="1"/>
    <col min="4879" max="4879" width="4" style="355" customWidth="1"/>
    <col min="4880" max="4880" width="3.125" style="355" customWidth="1"/>
    <col min="4881" max="4881" width="4" style="355" customWidth="1"/>
    <col min="4882" max="4882" width="3.125" style="355" customWidth="1"/>
    <col min="4883" max="4883" width="4" style="355" customWidth="1"/>
    <col min="4884" max="4884" width="3.125" style="355" customWidth="1"/>
    <col min="4885" max="4885" width="4" style="355" customWidth="1"/>
    <col min="4886" max="4887" width="3.375" style="355" customWidth="1"/>
    <col min="4888" max="4888" width="1.125" style="355" customWidth="1"/>
    <col min="4889" max="4889" width="7.5" style="355"/>
    <col min="4890" max="4890" width="3.5" style="355" customWidth="1"/>
    <col min="4891" max="4896" width="3" style="355" customWidth="1"/>
    <col min="4897" max="4897" width="8.5" style="355" customWidth="1"/>
    <col min="4898" max="5111" width="7.5" style="355"/>
    <col min="5112" max="5112" width="1.75" style="355" customWidth="1"/>
    <col min="5113" max="5113" width="8.5" style="355" customWidth="1"/>
    <col min="5114" max="5114" width="3.125" style="355" customWidth="1"/>
    <col min="5115" max="5115" width="4" style="355" customWidth="1"/>
    <col min="5116" max="5116" width="3.125" style="355" customWidth="1"/>
    <col min="5117" max="5117" width="4" style="355" customWidth="1"/>
    <col min="5118" max="5118" width="3.125" style="355" customWidth="1"/>
    <col min="5119" max="5119" width="4" style="355" customWidth="1"/>
    <col min="5120" max="5120" width="3.125" style="355" customWidth="1"/>
    <col min="5121" max="5121" width="4" style="355" customWidth="1"/>
    <col min="5122" max="5122" width="3.125" style="355" customWidth="1"/>
    <col min="5123" max="5123" width="4" style="355" customWidth="1"/>
    <col min="5124" max="5124" width="3.125" style="355" customWidth="1"/>
    <col min="5125" max="5125" width="4" style="355" customWidth="1"/>
    <col min="5126" max="5127" width="3.375" style="355" customWidth="1"/>
    <col min="5128" max="5128" width="2.875" style="355" customWidth="1"/>
    <col min="5129" max="5129" width="8.375" style="355" customWidth="1"/>
    <col min="5130" max="5130" width="3.125" style="355" customWidth="1"/>
    <col min="5131" max="5131" width="4" style="355" customWidth="1"/>
    <col min="5132" max="5132" width="3.125" style="355" customWidth="1"/>
    <col min="5133" max="5133" width="4" style="355" customWidth="1"/>
    <col min="5134" max="5134" width="3.125" style="355" customWidth="1"/>
    <col min="5135" max="5135" width="4" style="355" customWidth="1"/>
    <col min="5136" max="5136" width="3.125" style="355" customWidth="1"/>
    <col min="5137" max="5137" width="4" style="355" customWidth="1"/>
    <col min="5138" max="5138" width="3.125" style="355" customWidth="1"/>
    <col min="5139" max="5139" width="4" style="355" customWidth="1"/>
    <col min="5140" max="5140" width="3.125" style="355" customWidth="1"/>
    <col min="5141" max="5141" width="4" style="355" customWidth="1"/>
    <col min="5142" max="5143" width="3.375" style="355" customWidth="1"/>
    <col min="5144" max="5144" width="1.125" style="355" customWidth="1"/>
    <col min="5145" max="5145" width="7.5" style="355"/>
    <col min="5146" max="5146" width="3.5" style="355" customWidth="1"/>
    <col min="5147" max="5152" width="3" style="355" customWidth="1"/>
    <col min="5153" max="5153" width="8.5" style="355" customWidth="1"/>
    <col min="5154" max="5367" width="7.5" style="355"/>
    <col min="5368" max="5368" width="1.75" style="355" customWidth="1"/>
    <col min="5369" max="5369" width="8.5" style="355" customWidth="1"/>
    <col min="5370" max="5370" width="3.125" style="355" customWidth="1"/>
    <col min="5371" max="5371" width="4" style="355" customWidth="1"/>
    <col min="5372" max="5372" width="3.125" style="355" customWidth="1"/>
    <col min="5373" max="5373" width="4" style="355" customWidth="1"/>
    <col min="5374" max="5374" width="3.125" style="355" customWidth="1"/>
    <col min="5375" max="5375" width="4" style="355" customWidth="1"/>
    <col min="5376" max="5376" width="3.125" style="355" customWidth="1"/>
    <col min="5377" max="5377" width="4" style="355" customWidth="1"/>
    <col min="5378" max="5378" width="3.125" style="355" customWidth="1"/>
    <col min="5379" max="5379" width="4" style="355" customWidth="1"/>
    <col min="5380" max="5380" width="3.125" style="355" customWidth="1"/>
    <col min="5381" max="5381" width="4" style="355" customWidth="1"/>
    <col min="5382" max="5383" width="3.375" style="355" customWidth="1"/>
    <col min="5384" max="5384" width="2.875" style="355" customWidth="1"/>
    <col min="5385" max="5385" width="8.375" style="355" customWidth="1"/>
    <col min="5386" max="5386" width="3.125" style="355" customWidth="1"/>
    <col min="5387" max="5387" width="4" style="355" customWidth="1"/>
    <col min="5388" max="5388" width="3.125" style="355" customWidth="1"/>
    <col min="5389" max="5389" width="4" style="355" customWidth="1"/>
    <col min="5390" max="5390" width="3.125" style="355" customWidth="1"/>
    <col min="5391" max="5391" width="4" style="355" customWidth="1"/>
    <col min="5392" max="5392" width="3.125" style="355" customWidth="1"/>
    <col min="5393" max="5393" width="4" style="355" customWidth="1"/>
    <col min="5394" max="5394" width="3.125" style="355" customWidth="1"/>
    <col min="5395" max="5395" width="4" style="355" customWidth="1"/>
    <col min="5396" max="5396" width="3.125" style="355" customWidth="1"/>
    <col min="5397" max="5397" width="4" style="355" customWidth="1"/>
    <col min="5398" max="5399" width="3.375" style="355" customWidth="1"/>
    <col min="5400" max="5400" width="1.125" style="355" customWidth="1"/>
    <col min="5401" max="5401" width="7.5" style="355"/>
    <col min="5402" max="5402" width="3.5" style="355" customWidth="1"/>
    <col min="5403" max="5408" width="3" style="355" customWidth="1"/>
    <col min="5409" max="5409" width="8.5" style="355" customWidth="1"/>
    <col min="5410" max="5623" width="7.5" style="355"/>
    <col min="5624" max="5624" width="1.75" style="355" customWidth="1"/>
    <col min="5625" max="5625" width="8.5" style="355" customWidth="1"/>
    <col min="5626" max="5626" width="3.125" style="355" customWidth="1"/>
    <col min="5627" max="5627" width="4" style="355" customWidth="1"/>
    <col min="5628" max="5628" width="3.125" style="355" customWidth="1"/>
    <col min="5629" max="5629" width="4" style="355" customWidth="1"/>
    <col min="5630" max="5630" width="3.125" style="355" customWidth="1"/>
    <col min="5631" max="5631" width="4" style="355" customWidth="1"/>
    <col min="5632" max="5632" width="3.125" style="355" customWidth="1"/>
    <col min="5633" max="5633" width="4" style="355" customWidth="1"/>
    <col min="5634" max="5634" width="3.125" style="355" customWidth="1"/>
    <col min="5635" max="5635" width="4" style="355" customWidth="1"/>
    <col min="5636" max="5636" width="3.125" style="355" customWidth="1"/>
    <col min="5637" max="5637" width="4" style="355" customWidth="1"/>
    <col min="5638" max="5639" width="3.375" style="355" customWidth="1"/>
    <col min="5640" max="5640" width="2.875" style="355" customWidth="1"/>
    <col min="5641" max="5641" width="8.375" style="355" customWidth="1"/>
    <col min="5642" max="5642" width="3.125" style="355" customWidth="1"/>
    <col min="5643" max="5643" width="4" style="355" customWidth="1"/>
    <col min="5644" max="5644" width="3.125" style="355" customWidth="1"/>
    <col min="5645" max="5645" width="4" style="355" customWidth="1"/>
    <col min="5646" max="5646" width="3.125" style="355" customWidth="1"/>
    <col min="5647" max="5647" width="4" style="355" customWidth="1"/>
    <col min="5648" max="5648" width="3.125" style="355" customWidth="1"/>
    <col min="5649" max="5649" width="4" style="355" customWidth="1"/>
    <col min="5650" max="5650" width="3.125" style="355" customWidth="1"/>
    <col min="5651" max="5651" width="4" style="355" customWidth="1"/>
    <col min="5652" max="5652" width="3.125" style="355" customWidth="1"/>
    <col min="5653" max="5653" width="4" style="355" customWidth="1"/>
    <col min="5654" max="5655" width="3.375" style="355" customWidth="1"/>
    <col min="5656" max="5656" width="1.125" style="355" customWidth="1"/>
    <col min="5657" max="5657" width="7.5" style="355"/>
    <col min="5658" max="5658" width="3.5" style="355" customWidth="1"/>
    <col min="5659" max="5664" width="3" style="355" customWidth="1"/>
    <col min="5665" max="5665" width="8.5" style="355" customWidth="1"/>
    <col min="5666" max="5879" width="7.5" style="355"/>
    <col min="5880" max="5880" width="1.75" style="355" customWidth="1"/>
    <col min="5881" max="5881" width="8.5" style="355" customWidth="1"/>
    <col min="5882" max="5882" width="3.125" style="355" customWidth="1"/>
    <col min="5883" max="5883" width="4" style="355" customWidth="1"/>
    <col min="5884" max="5884" width="3.125" style="355" customWidth="1"/>
    <col min="5885" max="5885" width="4" style="355" customWidth="1"/>
    <col min="5886" max="5886" width="3.125" style="355" customWidth="1"/>
    <col min="5887" max="5887" width="4" style="355" customWidth="1"/>
    <col min="5888" max="5888" width="3.125" style="355" customWidth="1"/>
    <col min="5889" max="5889" width="4" style="355" customWidth="1"/>
    <col min="5890" max="5890" width="3.125" style="355" customWidth="1"/>
    <col min="5891" max="5891" width="4" style="355" customWidth="1"/>
    <col min="5892" max="5892" width="3.125" style="355" customWidth="1"/>
    <col min="5893" max="5893" width="4" style="355" customWidth="1"/>
    <col min="5894" max="5895" width="3.375" style="355" customWidth="1"/>
    <col min="5896" max="5896" width="2.875" style="355" customWidth="1"/>
    <col min="5897" max="5897" width="8.375" style="355" customWidth="1"/>
    <col min="5898" max="5898" width="3.125" style="355" customWidth="1"/>
    <col min="5899" max="5899" width="4" style="355" customWidth="1"/>
    <col min="5900" max="5900" width="3.125" style="355" customWidth="1"/>
    <col min="5901" max="5901" width="4" style="355" customWidth="1"/>
    <col min="5902" max="5902" width="3.125" style="355" customWidth="1"/>
    <col min="5903" max="5903" width="4" style="355" customWidth="1"/>
    <col min="5904" max="5904" width="3.125" style="355" customWidth="1"/>
    <col min="5905" max="5905" width="4" style="355" customWidth="1"/>
    <col min="5906" max="5906" width="3.125" style="355" customWidth="1"/>
    <col min="5907" max="5907" width="4" style="355" customWidth="1"/>
    <col min="5908" max="5908" width="3.125" style="355" customWidth="1"/>
    <col min="5909" max="5909" width="4" style="355" customWidth="1"/>
    <col min="5910" max="5911" width="3.375" style="355" customWidth="1"/>
    <col min="5912" max="5912" width="1.125" style="355" customWidth="1"/>
    <col min="5913" max="5913" width="7.5" style="355"/>
    <col min="5914" max="5914" width="3.5" style="355" customWidth="1"/>
    <col min="5915" max="5920" width="3" style="355" customWidth="1"/>
    <col min="5921" max="5921" width="8.5" style="355" customWidth="1"/>
    <col min="5922" max="6135" width="7.5" style="355"/>
    <col min="6136" max="6136" width="1.75" style="355" customWidth="1"/>
    <col min="6137" max="6137" width="8.5" style="355" customWidth="1"/>
    <col min="6138" max="6138" width="3.125" style="355" customWidth="1"/>
    <col min="6139" max="6139" width="4" style="355" customWidth="1"/>
    <col min="6140" max="6140" width="3.125" style="355" customWidth="1"/>
    <col min="6141" max="6141" width="4" style="355" customWidth="1"/>
    <col min="6142" max="6142" width="3.125" style="355" customWidth="1"/>
    <col min="6143" max="6143" width="4" style="355" customWidth="1"/>
    <col min="6144" max="6144" width="3.125" style="355" customWidth="1"/>
    <col min="6145" max="6145" width="4" style="355" customWidth="1"/>
    <col min="6146" max="6146" width="3.125" style="355" customWidth="1"/>
    <col min="6147" max="6147" width="4" style="355" customWidth="1"/>
    <col min="6148" max="6148" width="3.125" style="355" customWidth="1"/>
    <col min="6149" max="6149" width="4" style="355" customWidth="1"/>
    <col min="6150" max="6151" width="3.375" style="355" customWidth="1"/>
    <col min="6152" max="6152" width="2.875" style="355" customWidth="1"/>
    <col min="6153" max="6153" width="8.375" style="355" customWidth="1"/>
    <col min="6154" max="6154" width="3.125" style="355" customWidth="1"/>
    <col min="6155" max="6155" width="4" style="355" customWidth="1"/>
    <col min="6156" max="6156" width="3.125" style="355" customWidth="1"/>
    <col min="6157" max="6157" width="4" style="355" customWidth="1"/>
    <col min="6158" max="6158" width="3.125" style="355" customWidth="1"/>
    <col min="6159" max="6159" width="4" style="355" customWidth="1"/>
    <col min="6160" max="6160" width="3.125" style="355" customWidth="1"/>
    <col min="6161" max="6161" width="4" style="355" customWidth="1"/>
    <col min="6162" max="6162" width="3.125" style="355" customWidth="1"/>
    <col min="6163" max="6163" width="4" style="355" customWidth="1"/>
    <col min="6164" max="6164" width="3.125" style="355" customWidth="1"/>
    <col min="6165" max="6165" width="4" style="355" customWidth="1"/>
    <col min="6166" max="6167" width="3.375" style="355" customWidth="1"/>
    <col min="6168" max="6168" width="1.125" style="355" customWidth="1"/>
    <col min="6169" max="6169" width="7.5" style="355"/>
    <col min="6170" max="6170" width="3.5" style="355" customWidth="1"/>
    <col min="6171" max="6176" width="3" style="355" customWidth="1"/>
    <col min="6177" max="6177" width="8.5" style="355" customWidth="1"/>
    <col min="6178" max="6391" width="7.5" style="355"/>
    <col min="6392" max="6392" width="1.75" style="355" customWidth="1"/>
    <col min="6393" max="6393" width="8.5" style="355" customWidth="1"/>
    <col min="6394" max="6394" width="3.125" style="355" customWidth="1"/>
    <col min="6395" max="6395" width="4" style="355" customWidth="1"/>
    <col min="6396" max="6396" width="3.125" style="355" customWidth="1"/>
    <col min="6397" max="6397" width="4" style="355" customWidth="1"/>
    <col min="6398" max="6398" width="3.125" style="355" customWidth="1"/>
    <col min="6399" max="6399" width="4" style="355" customWidth="1"/>
    <col min="6400" max="6400" width="3.125" style="355" customWidth="1"/>
    <col min="6401" max="6401" width="4" style="355" customWidth="1"/>
    <col min="6402" max="6402" width="3.125" style="355" customWidth="1"/>
    <col min="6403" max="6403" width="4" style="355" customWidth="1"/>
    <col min="6404" max="6404" width="3.125" style="355" customWidth="1"/>
    <col min="6405" max="6405" width="4" style="355" customWidth="1"/>
    <col min="6406" max="6407" width="3.375" style="355" customWidth="1"/>
    <col min="6408" max="6408" width="2.875" style="355" customWidth="1"/>
    <col min="6409" max="6409" width="8.375" style="355" customWidth="1"/>
    <col min="6410" max="6410" width="3.125" style="355" customWidth="1"/>
    <col min="6411" max="6411" width="4" style="355" customWidth="1"/>
    <col min="6412" max="6412" width="3.125" style="355" customWidth="1"/>
    <col min="6413" max="6413" width="4" style="355" customWidth="1"/>
    <col min="6414" max="6414" width="3.125" style="355" customWidth="1"/>
    <col min="6415" max="6415" width="4" style="355" customWidth="1"/>
    <col min="6416" max="6416" width="3.125" style="355" customWidth="1"/>
    <col min="6417" max="6417" width="4" style="355" customWidth="1"/>
    <col min="6418" max="6418" width="3.125" style="355" customWidth="1"/>
    <col min="6419" max="6419" width="4" style="355" customWidth="1"/>
    <col min="6420" max="6420" width="3.125" style="355" customWidth="1"/>
    <col min="6421" max="6421" width="4" style="355" customWidth="1"/>
    <col min="6422" max="6423" width="3.375" style="355" customWidth="1"/>
    <col min="6424" max="6424" width="1.125" style="355" customWidth="1"/>
    <col min="6425" max="6425" width="7.5" style="355"/>
    <col min="6426" max="6426" width="3.5" style="355" customWidth="1"/>
    <col min="6427" max="6432" width="3" style="355" customWidth="1"/>
    <col min="6433" max="6433" width="8.5" style="355" customWidth="1"/>
    <col min="6434" max="6647" width="7.5" style="355"/>
    <col min="6648" max="6648" width="1.75" style="355" customWidth="1"/>
    <col min="6649" max="6649" width="8.5" style="355" customWidth="1"/>
    <col min="6650" max="6650" width="3.125" style="355" customWidth="1"/>
    <col min="6651" max="6651" width="4" style="355" customWidth="1"/>
    <col min="6652" max="6652" width="3.125" style="355" customWidth="1"/>
    <col min="6653" max="6653" width="4" style="355" customWidth="1"/>
    <col min="6654" max="6654" width="3.125" style="355" customWidth="1"/>
    <col min="6655" max="6655" width="4" style="355" customWidth="1"/>
    <col min="6656" max="6656" width="3.125" style="355" customWidth="1"/>
    <col min="6657" max="6657" width="4" style="355" customWidth="1"/>
    <col min="6658" max="6658" width="3.125" style="355" customWidth="1"/>
    <col min="6659" max="6659" width="4" style="355" customWidth="1"/>
    <col min="6660" max="6660" width="3.125" style="355" customWidth="1"/>
    <col min="6661" max="6661" width="4" style="355" customWidth="1"/>
    <col min="6662" max="6663" width="3.375" style="355" customWidth="1"/>
    <col min="6664" max="6664" width="2.875" style="355" customWidth="1"/>
    <col min="6665" max="6665" width="8.375" style="355" customWidth="1"/>
    <col min="6666" max="6666" width="3.125" style="355" customWidth="1"/>
    <col min="6667" max="6667" width="4" style="355" customWidth="1"/>
    <col min="6668" max="6668" width="3.125" style="355" customWidth="1"/>
    <col min="6669" max="6669" width="4" style="355" customWidth="1"/>
    <col min="6670" max="6670" width="3.125" style="355" customWidth="1"/>
    <col min="6671" max="6671" width="4" style="355" customWidth="1"/>
    <col min="6672" max="6672" width="3.125" style="355" customWidth="1"/>
    <col min="6673" max="6673" width="4" style="355" customWidth="1"/>
    <col min="6674" max="6674" width="3.125" style="355" customWidth="1"/>
    <col min="6675" max="6675" width="4" style="355" customWidth="1"/>
    <col min="6676" max="6676" width="3.125" style="355" customWidth="1"/>
    <col min="6677" max="6677" width="4" style="355" customWidth="1"/>
    <col min="6678" max="6679" width="3.375" style="355" customWidth="1"/>
    <col min="6680" max="6680" width="1.125" style="355" customWidth="1"/>
    <col min="6681" max="6681" width="7.5" style="355"/>
    <col min="6682" max="6682" width="3.5" style="355" customWidth="1"/>
    <col min="6683" max="6688" width="3" style="355" customWidth="1"/>
    <col min="6689" max="6689" width="8.5" style="355" customWidth="1"/>
    <col min="6690" max="6903" width="7.5" style="355"/>
    <col min="6904" max="6904" width="1.75" style="355" customWidth="1"/>
    <col min="6905" max="6905" width="8.5" style="355" customWidth="1"/>
    <col min="6906" max="6906" width="3.125" style="355" customWidth="1"/>
    <col min="6907" max="6907" width="4" style="355" customWidth="1"/>
    <col min="6908" max="6908" width="3.125" style="355" customWidth="1"/>
    <col min="6909" max="6909" width="4" style="355" customWidth="1"/>
    <col min="6910" max="6910" width="3.125" style="355" customWidth="1"/>
    <col min="6911" max="6911" width="4" style="355" customWidth="1"/>
    <col min="6912" max="6912" width="3.125" style="355" customWidth="1"/>
    <col min="6913" max="6913" width="4" style="355" customWidth="1"/>
    <col min="6914" max="6914" width="3.125" style="355" customWidth="1"/>
    <col min="6915" max="6915" width="4" style="355" customWidth="1"/>
    <col min="6916" max="6916" width="3.125" style="355" customWidth="1"/>
    <col min="6917" max="6917" width="4" style="355" customWidth="1"/>
    <col min="6918" max="6919" width="3.375" style="355" customWidth="1"/>
    <col min="6920" max="6920" width="2.875" style="355" customWidth="1"/>
    <col min="6921" max="6921" width="8.375" style="355" customWidth="1"/>
    <col min="6922" max="6922" width="3.125" style="355" customWidth="1"/>
    <col min="6923" max="6923" width="4" style="355" customWidth="1"/>
    <col min="6924" max="6924" width="3.125" style="355" customWidth="1"/>
    <col min="6925" max="6925" width="4" style="355" customWidth="1"/>
    <col min="6926" max="6926" width="3.125" style="355" customWidth="1"/>
    <col min="6927" max="6927" width="4" style="355" customWidth="1"/>
    <col min="6928" max="6928" width="3.125" style="355" customWidth="1"/>
    <col min="6929" max="6929" width="4" style="355" customWidth="1"/>
    <col min="6930" max="6930" width="3.125" style="355" customWidth="1"/>
    <col min="6931" max="6931" width="4" style="355" customWidth="1"/>
    <col min="6932" max="6932" width="3.125" style="355" customWidth="1"/>
    <col min="6933" max="6933" width="4" style="355" customWidth="1"/>
    <col min="6934" max="6935" width="3.375" style="355" customWidth="1"/>
    <col min="6936" max="6936" width="1.125" style="355" customWidth="1"/>
    <col min="6937" max="6937" width="7.5" style="355"/>
    <col min="6938" max="6938" width="3.5" style="355" customWidth="1"/>
    <col min="6939" max="6944" width="3" style="355" customWidth="1"/>
    <col min="6945" max="6945" width="8.5" style="355" customWidth="1"/>
    <col min="6946" max="7159" width="7.5" style="355"/>
    <col min="7160" max="7160" width="1.75" style="355" customWidth="1"/>
    <col min="7161" max="7161" width="8.5" style="355" customWidth="1"/>
    <col min="7162" max="7162" width="3.125" style="355" customWidth="1"/>
    <col min="7163" max="7163" width="4" style="355" customWidth="1"/>
    <col min="7164" max="7164" width="3.125" style="355" customWidth="1"/>
    <col min="7165" max="7165" width="4" style="355" customWidth="1"/>
    <col min="7166" max="7166" width="3.125" style="355" customWidth="1"/>
    <col min="7167" max="7167" width="4" style="355" customWidth="1"/>
    <col min="7168" max="7168" width="3.125" style="355" customWidth="1"/>
    <col min="7169" max="7169" width="4" style="355" customWidth="1"/>
    <col min="7170" max="7170" width="3.125" style="355" customWidth="1"/>
    <col min="7171" max="7171" width="4" style="355" customWidth="1"/>
    <col min="7172" max="7172" width="3.125" style="355" customWidth="1"/>
    <col min="7173" max="7173" width="4" style="355" customWidth="1"/>
    <col min="7174" max="7175" width="3.375" style="355" customWidth="1"/>
    <col min="7176" max="7176" width="2.875" style="355" customWidth="1"/>
    <col min="7177" max="7177" width="8.375" style="355" customWidth="1"/>
    <col min="7178" max="7178" width="3.125" style="355" customWidth="1"/>
    <col min="7179" max="7179" width="4" style="355" customWidth="1"/>
    <col min="7180" max="7180" width="3.125" style="355" customWidth="1"/>
    <col min="7181" max="7181" width="4" style="355" customWidth="1"/>
    <col min="7182" max="7182" width="3.125" style="355" customWidth="1"/>
    <col min="7183" max="7183" width="4" style="355" customWidth="1"/>
    <col min="7184" max="7184" width="3.125" style="355" customWidth="1"/>
    <col min="7185" max="7185" width="4" style="355" customWidth="1"/>
    <col min="7186" max="7186" width="3.125" style="355" customWidth="1"/>
    <col min="7187" max="7187" width="4" style="355" customWidth="1"/>
    <col min="7188" max="7188" width="3.125" style="355" customWidth="1"/>
    <col min="7189" max="7189" width="4" style="355" customWidth="1"/>
    <col min="7190" max="7191" width="3.375" style="355" customWidth="1"/>
    <col min="7192" max="7192" width="1.125" style="355" customWidth="1"/>
    <col min="7193" max="7193" width="7.5" style="355"/>
    <col min="7194" max="7194" width="3.5" style="355" customWidth="1"/>
    <col min="7195" max="7200" width="3" style="355" customWidth="1"/>
    <col min="7201" max="7201" width="8.5" style="355" customWidth="1"/>
    <col min="7202" max="7415" width="7.5" style="355"/>
    <col min="7416" max="7416" width="1.75" style="355" customWidth="1"/>
    <col min="7417" max="7417" width="8.5" style="355" customWidth="1"/>
    <col min="7418" max="7418" width="3.125" style="355" customWidth="1"/>
    <col min="7419" max="7419" width="4" style="355" customWidth="1"/>
    <col min="7420" max="7420" width="3.125" style="355" customWidth="1"/>
    <col min="7421" max="7421" width="4" style="355" customWidth="1"/>
    <col min="7422" max="7422" width="3.125" style="355" customWidth="1"/>
    <col min="7423" max="7423" width="4" style="355" customWidth="1"/>
    <col min="7424" max="7424" width="3.125" style="355" customWidth="1"/>
    <col min="7425" max="7425" width="4" style="355" customWidth="1"/>
    <col min="7426" max="7426" width="3.125" style="355" customWidth="1"/>
    <col min="7427" max="7427" width="4" style="355" customWidth="1"/>
    <col min="7428" max="7428" width="3.125" style="355" customWidth="1"/>
    <col min="7429" max="7429" width="4" style="355" customWidth="1"/>
    <col min="7430" max="7431" width="3.375" style="355" customWidth="1"/>
    <col min="7432" max="7432" width="2.875" style="355" customWidth="1"/>
    <col min="7433" max="7433" width="8.375" style="355" customWidth="1"/>
    <col min="7434" max="7434" width="3.125" style="355" customWidth="1"/>
    <col min="7435" max="7435" width="4" style="355" customWidth="1"/>
    <col min="7436" max="7436" width="3.125" style="355" customWidth="1"/>
    <col min="7437" max="7437" width="4" style="355" customWidth="1"/>
    <col min="7438" max="7438" width="3.125" style="355" customWidth="1"/>
    <col min="7439" max="7439" width="4" style="355" customWidth="1"/>
    <col min="7440" max="7440" width="3.125" style="355" customWidth="1"/>
    <col min="7441" max="7441" width="4" style="355" customWidth="1"/>
    <col min="7442" max="7442" width="3.125" style="355" customWidth="1"/>
    <col min="7443" max="7443" width="4" style="355" customWidth="1"/>
    <col min="7444" max="7444" width="3.125" style="355" customWidth="1"/>
    <col min="7445" max="7445" width="4" style="355" customWidth="1"/>
    <col min="7446" max="7447" width="3.375" style="355" customWidth="1"/>
    <col min="7448" max="7448" width="1.125" style="355" customWidth="1"/>
    <col min="7449" max="7449" width="7.5" style="355"/>
    <col min="7450" max="7450" width="3.5" style="355" customWidth="1"/>
    <col min="7451" max="7456" width="3" style="355" customWidth="1"/>
    <col min="7457" max="7457" width="8.5" style="355" customWidth="1"/>
    <col min="7458" max="7671" width="7.5" style="355"/>
    <col min="7672" max="7672" width="1.75" style="355" customWidth="1"/>
    <col min="7673" max="7673" width="8.5" style="355" customWidth="1"/>
    <col min="7674" max="7674" width="3.125" style="355" customWidth="1"/>
    <col min="7675" max="7675" width="4" style="355" customWidth="1"/>
    <col min="7676" max="7676" width="3.125" style="355" customWidth="1"/>
    <col min="7677" max="7677" width="4" style="355" customWidth="1"/>
    <col min="7678" max="7678" width="3.125" style="355" customWidth="1"/>
    <col min="7679" max="7679" width="4" style="355" customWidth="1"/>
    <col min="7680" max="7680" width="3.125" style="355" customWidth="1"/>
    <col min="7681" max="7681" width="4" style="355" customWidth="1"/>
    <col min="7682" max="7682" width="3.125" style="355" customWidth="1"/>
    <col min="7683" max="7683" width="4" style="355" customWidth="1"/>
    <col min="7684" max="7684" width="3.125" style="355" customWidth="1"/>
    <col min="7685" max="7685" width="4" style="355" customWidth="1"/>
    <col min="7686" max="7687" width="3.375" style="355" customWidth="1"/>
    <col min="7688" max="7688" width="2.875" style="355" customWidth="1"/>
    <col min="7689" max="7689" width="8.375" style="355" customWidth="1"/>
    <col min="7690" max="7690" width="3.125" style="355" customWidth="1"/>
    <col min="7691" max="7691" width="4" style="355" customWidth="1"/>
    <col min="7692" max="7692" width="3.125" style="355" customWidth="1"/>
    <col min="7693" max="7693" width="4" style="355" customWidth="1"/>
    <col min="7694" max="7694" width="3.125" style="355" customWidth="1"/>
    <col min="7695" max="7695" width="4" style="355" customWidth="1"/>
    <col min="7696" max="7696" width="3.125" style="355" customWidth="1"/>
    <col min="7697" max="7697" width="4" style="355" customWidth="1"/>
    <col min="7698" max="7698" width="3.125" style="355" customWidth="1"/>
    <col min="7699" max="7699" width="4" style="355" customWidth="1"/>
    <col min="7700" max="7700" width="3.125" style="355" customWidth="1"/>
    <col min="7701" max="7701" width="4" style="355" customWidth="1"/>
    <col min="7702" max="7703" width="3.375" style="355" customWidth="1"/>
    <col min="7704" max="7704" width="1.125" style="355" customWidth="1"/>
    <col min="7705" max="7705" width="7.5" style="355"/>
    <col min="7706" max="7706" width="3.5" style="355" customWidth="1"/>
    <col min="7707" max="7712" width="3" style="355" customWidth="1"/>
    <col min="7713" max="7713" width="8.5" style="355" customWidth="1"/>
    <col min="7714" max="7927" width="7.5" style="355"/>
    <col min="7928" max="7928" width="1.75" style="355" customWidth="1"/>
    <col min="7929" max="7929" width="8.5" style="355" customWidth="1"/>
    <col min="7930" max="7930" width="3.125" style="355" customWidth="1"/>
    <col min="7931" max="7931" width="4" style="355" customWidth="1"/>
    <col min="7932" max="7932" width="3.125" style="355" customWidth="1"/>
    <col min="7933" max="7933" width="4" style="355" customWidth="1"/>
    <col min="7934" max="7934" width="3.125" style="355" customWidth="1"/>
    <col min="7935" max="7935" width="4" style="355" customWidth="1"/>
    <col min="7936" max="7936" width="3.125" style="355" customWidth="1"/>
    <col min="7937" max="7937" width="4" style="355" customWidth="1"/>
    <col min="7938" max="7938" width="3.125" style="355" customWidth="1"/>
    <col min="7939" max="7939" width="4" style="355" customWidth="1"/>
    <col min="7940" max="7940" width="3.125" style="355" customWidth="1"/>
    <col min="7941" max="7941" width="4" style="355" customWidth="1"/>
    <col min="7942" max="7943" width="3.375" style="355" customWidth="1"/>
    <col min="7944" max="7944" width="2.875" style="355" customWidth="1"/>
    <col min="7945" max="7945" width="8.375" style="355" customWidth="1"/>
    <col min="7946" max="7946" width="3.125" style="355" customWidth="1"/>
    <col min="7947" max="7947" width="4" style="355" customWidth="1"/>
    <col min="7948" max="7948" width="3.125" style="355" customWidth="1"/>
    <col min="7949" max="7949" width="4" style="355" customWidth="1"/>
    <col min="7950" max="7950" width="3.125" style="355" customWidth="1"/>
    <col min="7951" max="7951" width="4" style="355" customWidth="1"/>
    <col min="7952" max="7952" width="3.125" style="355" customWidth="1"/>
    <col min="7953" max="7953" width="4" style="355" customWidth="1"/>
    <col min="7954" max="7954" width="3.125" style="355" customWidth="1"/>
    <col min="7955" max="7955" width="4" style="355" customWidth="1"/>
    <col min="7956" max="7956" width="3.125" style="355" customWidth="1"/>
    <col min="7957" max="7957" width="4" style="355" customWidth="1"/>
    <col min="7958" max="7959" width="3.375" style="355" customWidth="1"/>
    <col min="7960" max="7960" width="1.125" style="355" customWidth="1"/>
    <col min="7961" max="7961" width="7.5" style="355"/>
    <col min="7962" max="7962" width="3.5" style="355" customWidth="1"/>
    <col min="7963" max="7968" width="3" style="355" customWidth="1"/>
    <col min="7969" max="7969" width="8.5" style="355" customWidth="1"/>
    <col min="7970" max="8183" width="7.5" style="355"/>
    <col min="8184" max="8184" width="1.75" style="355" customWidth="1"/>
    <col min="8185" max="8185" width="8.5" style="355" customWidth="1"/>
    <col min="8186" max="8186" width="3.125" style="355" customWidth="1"/>
    <col min="8187" max="8187" width="4" style="355" customWidth="1"/>
    <col min="8188" max="8188" width="3.125" style="355" customWidth="1"/>
    <col min="8189" max="8189" width="4" style="355" customWidth="1"/>
    <col min="8190" max="8190" width="3.125" style="355" customWidth="1"/>
    <col min="8191" max="8191" width="4" style="355" customWidth="1"/>
    <col min="8192" max="8192" width="3.125" style="355" customWidth="1"/>
    <col min="8193" max="8193" width="4" style="355" customWidth="1"/>
    <col min="8194" max="8194" width="3.125" style="355" customWidth="1"/>
    <col min="8195" max="8195" width="4" style="355" customWidth="1"/>
    <col min="8196" max="8196" width="3.125" style="355" customWidth="1"/>
    <col min="8197" max="8197" width="4" style="355" customWidth="1"/>
    <col min="8198" max="8199" width="3.375" style="355" customWidth="1"/>
    <col min="8200" max="8200" width="2.875" style="355" customWidth="1"/>
    <col min="8201" max="8201" width="8.375" style="355" customWidth="1"/>
    <col min="8202" max="8202" width="3.125" style="355" customWidth="1"/>
    <col min="8203" max="8203" width="4" style="355" customWidth="1"/>
    <col min="8204" max="8204" width="3.125" style="355" customWidth="1"/>
    <col min="8205" max="8205" width="4" style="355" customWidth="1"/>
    <col min="8206" max="8206" width="3.125" style="355" customWidth="1"/>
    <col min="8207" max="8207" width="4" style="355" customWidth="1"/>
    <col min="8208" max="8208" width="3.125" style="355" customWidth="1"/>
    <col min="8209" max="8209" width="4" style="355" customWidth="1"/>
    <col min="8210" max="8210" width="3.125" style="355" customWidth="1"/>
    <col min="8211" max="8211" width="4" style="355" customWidth="1"/>
    <col min="8212" max="8212" width="3.125" style="355" customWidth="1"/>
    <col min="8213" max="8213" width="4" style="355" customWidth="1"/>
    <col min="8214" max="8215" width="3.375" style="355" customWidth="1"/>
    <col min="8216" max="8216" width="1.125" style="355" customWidth="1"/>
    <col min="8217" max="8217" width="7.5" style="355"/>
    <col min="8218" max="8218" width="3.5" style="355" customWidth="1"/>
    <col min="8219" max="8224" width="3" style="355" customWidth="1"/>
    <col min="8225" max="8225" width="8.5" style="355" customWidth="1"/>
    <col min="8226" max="8439" width="7.5" style="355"/>
    <col min="8440" max="8440" width="1.75" style="355" customWidth="1"/>
    <col min="8441" max="8441" width="8.5" style="355" customWidth="1"/>
    <col min="8442" max="8442" width="3.125" style="355" customWidth="1"/>
    <col min="8443" max="8443" width="4" style="355" customWidth="1"/>
    <col min="8444" max="8444" width="3.125" style="355" customWidth="1"/>
    <col min="8445" max="8445" width="4" style="355" customWidth="1"/>
    <col min="8446" max="8446" width="3.125" style="355" customWidth="1"/>
    <col min="8447" max="8447" width="4" style="355" customWidth="1"/>
    <col min="8448" max="8448" width="3.125" style="355" customWidth="1"/>
    <col min="8449" max="8449" width="4" style="355" customWidth="1"/>
    <col min="8450" max="8450" width="3.125" style="355" customWidth="1"/>
    <col min="8451" max="8451" width="4" style="355" customWidth="1"/>
    <col min="8452" max="8452" width="3.125" style="355" customWidth="1"/>
    <col min="8453" max="8453" width="4" style="355" customWidth="1"/>
    <col min="8454" max="8455" width="3.375" style="355" customWidth="1"/>
    <col min="8456" max="8456" width="2.875" style="355" customWidth="1"/>
    <col min="8457" max="8457" width="8.375" style="355" customWidth="1"/>
    <col min="8458" max="8458" width="3.125" style="355" customWidth="1"/>
    <col min="8459" max="8459" width="4" style="355" customWidth="1"/>
    <col min="8460" max="8460" width="3.125" style="355" customWidth="1"/>
    <col min="8461" max="8461" width="4" style="355" customWidth="1"/>
    <col min="8462" max="8462" width="3.125" style="355" customWidth="1"/>
    <col min="8463" max="8463" width="4" style="355" customWidth="1"/>
    <col min="8464" max="8464" width="3.125" style="355" customWidth="1"/>
    <col min="8465" max="8465" width="4" style="355" customWidth="1"/>
    <col min="8466" max="8466" width="3.125" style="355" customWidth="1"/>
    <col min="8467" max="8467" width="4" style="355" customWidth="1"/>
    <col min="8468" max="8468" width="3.125" style="355" customWidth="1"/>
    <col min="8469" max="8469" width="4" style="355" customWidth="1"/>
    <col min="8470" max="8471" width="3.375" style="355" customWidth="1"/>
    <col min="8472" max="8472" width="1.125" style="355" customWidth="1"/>
    <col min="8473" max="8473" width="7.5" style="355"/>
    <col min="8474" max="8474" width="3.5" style="355" customWidth="1"/>
    <col min="8475" max="8480" width="3" style="355" customWidth="1"/>
    <col min="8481" max="8481" width="8.5" style="355" customWidth="1"/>
    <col min="8482" max="8695" width="7.5" style="355"/>
    <col min="8696" max="8696" width="1.75" style="355" customWidth="1"/>
    <col min="8697" max="8697" width="8.5" style="355" customWidth="1"/>
    <col min="8698" max="8698" width="3.125" style="355" customWidth="1"/>
    <col min="8699" max="8699" width="4" style="355" customWidth="1"/>
    <col min="8700" max="8700" width="3.125" style="355" customWidth="1"/>
    <col min="8701" max="8701" width="4" style="355" customWidth="1"/>
    <col min="8702" max="8702" width="3.125" style="355" customWidth="1"/>
    <col min="8703" max="8703" width="4" style="355" customWidth="1"/>
    <col min="8704" max="8704" width="3.125" style="355" customWidth="1"/>
    <col min="8705" max="8705" width="4" style="355" customWidth="1"/>
    <col min="8706" max="8706" width="3.125" style="355" customWidth="1"/>
    <col min="8707" max="8707" width="4" style="355" customWidth="1"/>
    <col min="8708" max="8708" width="3.125" style="355" customWidth="1"/>
    <col min="8709" max="8709" width="4" style="355" customWidth="1"/>
    <col min="8710" max="8711" width="3.375" style="355" customWidth="1"/>
    <col min="8712" max="8712" width="2.875" style="355" customWidth="1"/>
    <col min="8713" max="8713" width="8.375" style="355" customWidth="1"/>
    <col min="8714" max="8714" width="3.125" style="355" customWidth="1"/>
    <col min="8715" max="8715" width="4" style="355" customWidth="1"/>
    <col min="8716" max="8716" width="3.125" style="355" customWidth="1"/>
    <col min="8717" max="8717" width="4" style="355" customWidth="1"/>
    <col min="8718" max="8718" width="3.125" style="355" customWidth="1"/>
    <col min="8719" max="8719" width="4" style="355" customWidth="1"/>
    <col min="8720" max="8720" width="3.125" style="355" customWidth="1"/>
    <col min="8721" max="8721" width="4" style="355" customWidth="1"/>
    <col min="8722" max="8722" width="3.125" style="355" customWidth="1"/>
    <col min="8723" max="8723" width="4" style="355" customWidth="1"/>
    <col min="8724" max="8724" width="3.125" style="355" customWidth="1"/>
    <col min="8725" max="8725" width="4" style="355" customWidth="1"/>
    <col min="8726" max="8727" width="3.375" style="355" customWidth="1"/>
    <col min="8728" max="8728" width="1.125" style="355" customWidth="1"/>
    <col min="8729" max="8729" width="7.5" style="355"/>
    <col min="8730" max="8730" width="3.5" style="355" customWidth="1"/>
    <col min="8731" max="8736" width="3" style="355" customWidth="1"/>
    <col min="8737" max="8737" width="8.5" style="355" customWidth="1"/>
    <col min="8738" max="8951" width="7.5" style="355"/>
    <col min="8952" max="8952" width="1.75" style="355" customWidth="1"/>
    <col min="8953" max="8953" width="8.5" style="355" customWidth="1"/>
    <col min="8954" max="8954" width="3.125" style="355" customWidth="1"/>
    <col min="8955" max="8955" width="4" style="355" customWidth="1"/>
    <col min="8956" max="8956" width="3.125" style="355" customWidth="1"/>
    <col min="8957" max="8957" width="4" style="355" customWidth="1"/>
    <col min="8958" max="8958" width="3.125" style="355" customWidth="1"/>
    <col min="8959" max="8959" width="4" style="355" customWidth="1"/>
    <col min="8960" max="8960" width="3.125" style="355" customWidth="1"/>
    <col min="8961" max="8961" width="4" style="355" customWidth="1"/>
    <col min="8962" max="8962" width="3.125" style="355" customWidth="1"/>
    <col min="8963" max="8963" width="4" style="355" customWidth="1"/>
    <col min="8964" max="8964" width="3.125" style="355" customWidth="1"/>
    <col min="8965" max="8965" width="4" style="355" customWidth="1"/>
    <col min="8966" max="8967" width="3.375" style="355" customWidth="1"/>
    <col min="8968" max="8968" width="2.875" style="355" customWidth="1"/>
    <col min="8969" max="8969" width="8.375" style="355" customWidth="1"/>
    <col min="8970" max="8970" width="3.125" style="355" customWidth="1"/>
    <col min="8971" max="8971" width="4" style="355" customWidth="1"/>
    <col min="8972" max="8972" width="3.125" style="355" customWidth="1"/>
    <col min="8973" max="8973" width="4" style="355" customWidth="1"/>
    <col min="8974" max="8974" width="3.125" style="355" customWidth="1"/>
    <col min="8975" max="8975" width="4" style="355" customWidth="1"/>
    <col min="8976" max="8976" width="3.125" style="355" customWidth="1"/>
    <col min="8977" max="8977" width="4" style="355" customWidth="1"/>
    <col min="8978" max="8978" width="3.125" style="355" customWidth="1"/>
    <col min="8979" max="8979" width="4" style="355" customWidth="1"/>
    <col min="8980" max="8980" width="3.125" style="355" customWidth="1"/>
    <col min="8981" max="8981" width="4" style="355" customWidth="1"/>
    <col min="8982" max="8983" width="3.375" style="355" customWidth="1"/>
    <col min="8984" max="8984" width="1.125" style="355" customWidth="1"/>
    <col min="8985" max="8985" width="7.5" style="355"/>
    <col min="8986" max="8986" width="3.5" style="355" customWidth="1"/>
    <col min="8987" max="8992" width="3" style="355" customWidth="1"/>
    <col min="8993" max="8993" width="8.5" style="355" customWidth="1"/>
    <col min="8994" max="9207" width="7.5" style="355"/>
    <col min="9208" max="9208" width="1.75" style="355" customWidth="1"/>
    <col min="9209" max="9209" width="8.5" style="355" customWidth="1"/>
    <col min="9210" max="9210" width="3.125" style="355" customWidth="1"/>
    <col min="9211" max="9211" width="4" style="355" customWidth="1"/>
    <col min="9212" max="9212" width="3.125" style="355" customWidth="1"/>
    <col min="9213" max="9213" width="4" style="355" customWidth="1"/>
    <col min="9214" max="9214" width="3.125" style="355" customWidth="1"/>
    <col min="9215" max="9215" width="4" style="355" customWidth="1"/>
    <col min="9216" max="9216" width="3.125" style="355" customWidth="1"/>
    <col min="9217" max="9217" width="4" style="355" customWidth="1"/>
    <col min="9218" max="9218" width="3.125" style="355" customWidth="1"/>
    <col min="9219" max="9219" width="4" style="355" customWidth="1"/>
    <col min="9220" max="9220" width="3.125" style="355" customWidth="1"/>
    <col min="9221" max="9221" width="4" style="355" customWidth="1"/>
    <col min="9222" max="9223" width="3.375" style="355" customWidth="1"/>
    <col min="9224" max="9224" width="2.875" style="355" customWidth="1"/>
    <col min="9225" max="9225" width="8.375" style="355" customWidth="1"/>
    <col min="9226" max="9226" width="3.125" style="355" customWidth="1"/>
    <col min="9227" max="9227" width="4" style="355" customWidth="1"/>
    <col min="9228" max="9228" width="3.125" style="355" customWidth="1"/>
    <col min="9229" max="9229" width="4" style="355" customWidth="1"/>
    <col min="9230" max="9230" width="3.125" style="355" customWidth="1"/>
    <col min="9231" max="9231" width="4" style="355" customWidth="1"/>
    <col min="9232" max="9232" width="3.125" style="355" customWidth="1"/>
    <col min="9233" max="9233" width="4" style="355" customWidth="1"/>
    <col min="9234" max="9234" width="3.125" style="355" customWidth="1"/>
    <col min="9235" max="9235" width="4" style="355" customWidth="1"/>
    <col min="9236" max="9236" width="3.125" style="355" customWidth="1"/>
    <col min="9237" max="9237" width="4" style="355" customWidth="1"/>
    <col min="9238" max="9239" width="3.375" style="355" customWidth="1"/>
    <col min="9240" max="9240" width="1.125" style="355" customWidth="1"/>
    <col min="9241" max="9241" width="7.5" style="355"/>
    <col min="9242" max="9242" width="3.5" style="355" customWidth="1"/>
    <col min="9243" max="9248" width="3" style="355" customWidth="1"/>
    <col min="9249" max="9249" width="8.5" style="355" customWidth="1"/>
    <col min="9250" max="9463" width="7.5" style="355"/>
    <col min="9464" max="9464" width="1.75" style="355" customWidth="1"/>
    <col min="9465" max="9465" width="8.5" style="355" customWidth="1"/>
    <col min="9466" max="9466" width="3.125" style="355" customWidth="1"/>
    <col min="9467" max="9467" width="4" style="355" customWidth="1"/>
    <col min="9468" max="9468" width="3.125" style="355" customWidth="1"/>
    <col min="9469" max="9469" width="4" style="355" customWidth="1"/>
    <col min="9470" max="9470" width="3.125" style="355" customWidth="1"/>
    <col min="9471" max="9471" width="4" style="355" customWidth="1"/>
    <col min="9472" max="9472" width="3.125" style="355" customWidth="1"/>
    <col min="9473" max="9473" width="4" style="355" customWidth="1"/>
    <col min="9474" max="9474" width="3.125" style="355" customWidth="1"/>
    <col min="9475" max="9475" width="4" style="355" customWidth="1"/>
    <col min="9476" max="9476" width="3.125" style="355" customWidth="1"/>
    <col min="9477" max="9477" width="4" style="355" customWidth="1"/>
    <col min="9478" max="9479" width="3.375" style="355" customWidth="1"/>
    <col min="9480" max="9480" width="2.875" style="355" customWidth="1"/>
    <col min="9481" max="9481" width="8.375" style="355" customWidth="1"/>
    <col min="9482" max="9482" width="3.125" style="355" customWidth="1"/>
    <col min="9483" max="9483" width="4" style="355" customWidth="1"/>
    <col min="9484" max="9484" width="3.125" style="355" customWidth="1"/>
    <col min="9485" max="9485" width="4" style="355" customWidth="1"/>
    <col min="9486" max="9486" width="3.125" style="355" customWidth="1"/>
    <col min="9487" max="9487" width="4" style="355" customWidth="1"/>
    <col min="9488" max="9488" width="3.125" style="355" customWidth="1"/>
    <col min="9489" max="9489" width="4" style="355" customWidth="1"/>
    <col min="9490" max="9490" width="3.125" style="355" customWidth="1"/>
    <col min="9491" max="9491" width="4" style="355" customWidth="1"/>
    <col min="9492" max="9492" width="3.125" style="355" customWidth="1"/>
    <col min="9493" max="9493" width="4" style="355" customWidth="1"/>
    <col min="9494" max="9495" width="3.375" style="355" customWidth="1"/>
    <col min="9496" max="9496" width="1.125" style="355" customWidth="1"/>
    <col min="9497" max="9497" width="7.5" style="355"/>
    <col min="9498" max="9498" width="3.5" style="355" customWidth="1"/>
    <col min="9499" max="9504" width="3" style="355" customWidth="1"/>
    <col min="9505" max="9505" width="8.5" style="355" customWidth="1"/>
    <col min="9506" max="9719" width="7.5" style="355"/>
    <col min="9720" max="9720" width="1.75" style="355" customWidth="1"/>
    <col min="9721" max="9721" width="8.5" style="355" customWidth="1"/>
    <col min="9722" max="9722" width="3.125" style="355" customWidth="1"/>
    <col min="9723" max="9723" width="4" style="355" customWidth="1"/>
    <col min="9724" max="9724" width="3.125" style="355" customWidth="1"/>
    <col min="9725" max="9725" width="4" style="355" customWidth="1"/>
    <col min="9726" max="9726" width="3.125" style="355" customWidth="1"/>
    <col min="9727" max="9727" width="4" style="355" customWidth="1"/>
    <col min="9728" max="9728" width="3.125" style="355" customWidth="1"/>
    <col min="9729" max="9729" width="4" style="355" customWidth="1"/>
    <col min="9730" max="9730" width="3.125" style="355" customWidth="1"/>
    <col min="9731" max="9731" width="4" style="355" customWidth="1"/>
    <col min="9732" max="9732" width="3.125" style="355" customWidth="1"/>
    <col min="9733" max="9733" width="4" style="355" customWidth="1"/>
    <col min="9734" max="9735" width="3.375" style="355" customWidth="1"/>
    <col min="9736" max="9736" width="2.875" style="355" customWidth="1"/>
    <col min="9737" max="9737" width="8.375" style="355" customWidth="1"/>
    <col min="9738" max="9738" width="3.125" style="355" customWidth="1"/>
    <col min="9739" max="9739" width="4" style="355" customWidth="1"/>
    <col min="9740" max="9740" width="3.125" style="355" customWidth="1"/>
    <col min="9741" max="9741" width="4" style="355" customWidth="1"/>
    <col min="9742" max="9742" width="3.125" style="355" customWidth="1"/>
    <col min="9743" max="9743" width="4" style="355" customWidth="1"/>
    <col min="9744" max="9744" width="3.125" style="355" customWidth="1"/>
    <col min="9745" max="9745" width="4" style="355" customWidth="1"/>
    <col min="9746" max="9746" width="3.125" style="355" customWidth="1"/>
    <col min="9747" max="9747" width="4" style="355" customWidth="1"/>
    <col min="9748" max="9748" width="3.125" style="355" customWidth="1"/>
    <col min="9749" max="9749" width="4" style="355" customWidth="1"/>
    <col min="9750" max="9751" width="3.375" style="355" customWidth="1"/>
    <col min="9752" max="9752" width="1.125" style="355" customWidth="1"/>
    <col min="9753" max="9753" width="7.5" style="355"/>
    <col min="9754" max="9754" width="3.5" style="355" customWidth="1"/>
    <col min="9755" max="9760" width="3" style="355" customWidth="1"/>
    <col min="9761" max="9761" width="8.5" style="355" customWidth="1"/>
    <col min="9762" max="9975" width="7.5" style="355"/>
    <col min="9976" max="9976" width="1.75" style="355" customWidth="1"/>
    <col min="9977" max="9977" width="8.5" style="355" customWidth="1"/>
    <col min="9978" max="9978" width="3.125" style="355" customWidth="1"/>
    <col min="9979" max="9979" width="4" style="355" customWidth="1"/>
    <col min="9980" max="9980" width="3.125" style="355" customWidth="1"/>
    <col min="9981" max="9981" width="4" style="355" customWidth="1"/>
    <col min="9982" max="9982" width="3.125" style="355" customWidth="1"/>
    <col min="9983" max="9983" width="4" style="355" customWidth="1"/>
    <col min="9984" max="9984" width="3.125" style="355" customWidth="1"/>
    <col min="9985" max="9985" width="4" style="355" customWidth="1"/>
    <col min="9986" max="9986" width="3.125" style="355" customWidth="1"/>
    <col min="9987" max="9987" width="4" style="355" customWidth="1"/>
    <col min="9988" max="9988" width="3.125" style="355" customWidth="1"/>
    <col min="9989" max="9989" width="4" style="355" customWidth="1"/>
    <col min="9990" max="9991" width="3.375" style="355" customWidth="1"/>
    <col min="9992" max="9992" width="2.875" style="355" customWidth="1"/>
    <col min="9993" max="9993" width="8.375" style="355" customWidth="1"/>
    <col min="9994" max="9994" width="3.125" style="355" customWidth="1"/>
    <col min="9995" max="9995" width="4" style="355" customWidth="1"/>
    <col min="9996" max="9996" width="3.125" style="355" customWidth="1"/>
    <col min="9997" max="9997" width="4" style="355" customWidth="1"/>
    <col min="9998" max="9998" width="3.125" style="355" customWidth="1"/>
    <col min="9999" max="9999" width="4" style="355" customWidth="1"/>
    <col min="10000" max="10000" width="3.125" style="355" customWidth="1"/>
    <col min="10001" max="10001" width="4" style="355" customWidth="1"/>
    <col min="10002" max="10002" width="3.125" style="355" customWidth="1"/>
    <col min="10003" max="10003" width="4" style="355" customWidth="1"/>
    <col min="10004" max="10004" width="3.125" style="355" customWidth="1"/>
    <col min="10005" max="10005" width="4" style="355" customWidth="1"/>
    <col min="10006" max="10007" width="3.375" style="355" customWidth="1"/>
    <col min="10008" max="10008" width="1.125" style="355" customWidth="1"/>
    <col min="10009" max="10009" width="7.5" style="355"/>
    <col min="10010" max="10010" width="3.5" style="355" customWidth="1"/>
    <col min="10011" max="10016" width="3" style="355" customWidth="1"/>
    <col min="10017" max="10017" width="8.5" style="355" customWidth="1"/>
    <col min="10018" max="10231" width="7.5" style="355"/>
    <col min="10232" max="10232" width="1.75" style="355" customWidth="1"/>
    <col min="10233" max="10233" width="8.5" style="355" customWidth="1"/>
    <col min="10234" max="10234" width="3.125" style="355" customWidth="1"/>
    <col min="10235" max="10235" width="4" style="355" customWidth="1"/>
    <col min="10236" max="10236" width="3.125" style="355" customWidth="1"/>
    <col min="10237" max="10237" width="4" style="355" customWidth="1"/>
    <col min="10238" max="10238" width="3.125" style="355" customWidth="1"/>
    <col min="10239" max="10239" width="4" style="355" customWidth="1"/>
    <col min="10240" max="10240" width="3.125" style="355" customWidth="1"/>
    <col min="10241" max="10241" width="4" style="355" customWidth="1"/>
    <col min="10242" max="10242" width="3.125" style="355" customWidth="1"/>
    <col min="10243" max="10243" width="4" style="355" customWidth="1"/>
    <col min="10244" max="10244" width="3.125" style="355" customWidth="1"/>
    <col min="10245" max="10245" width="4" style="355" customWidth="1"/>
    <col min="10246" max="10247" width="3.375" style="355" customWidth="1"/>
    <col min="10248" max="10248" width="2.875" style="355" customWidth="1"/>
    <col min="10249" max="10249" width="8.375" style="355" customWidth="1"/>
    <col min="10250" max="10250" width="3.125" style="355" customWidth="1"/>
    <col min="10251" max="10251" width="4" style="355" customWidth="1"/>
    <col min="10252" max="10252" width="3.125" style="355" customWidth="1"/>
    <col min="10253" max="10253" width="4" style="355" customWidth="1"/>
    <col min="10254" max="10254" width="3.125" style="355" customWidth="1"/>
    <col min="10255" max="10255" width="4" style="355" customWidth="1"/>
    <col min="10256" max="10256" width="3.125" style="355" customWidth="1"/>
    <col min="10257" max="10257" width="4" style="355" customWidth="1"/>
    <col min="10258" max="10258" width="3.125" style="355" customWidth="1"/>
    <col min="10259" max="10259" width="4" style="355" customWidth="1"/>
    <col min="10260" max="10260" width="3.125" style="355" customWidth="1"/>
    <col min="10261" max="10261" width="4" style="355" customWidth="1"/>
    <col min="10262" max="10263" width="3.375" style="355" customWidth="1"/>
    <col min="10264" max="10264" width="1.125" style="355" customWidth="1"/>
    <col min="10265" max="10265" width="7.5" style="355"/>
    <col min="10266" max="10266" width="3.5" style="355" customWidth="1"/>
    <col min="10267" max="10272" width="3" style="355" customWidth="1"/>
    <col min="10273" max="10273" width="8.5" style="355" customWidth="1"/>
    <col min="10274" max="10487" width="7.5" style="355"/>
    <col min="10488" max="10488" width="1.75" style="355" customWidth="1"/>
    <col min="10489" max="10489" width="8.5" style="355" customWidth="1"/>
    <col min="10490" max="10490" width="3.125" style="355" customWidth="1"/>
    <col min="10491" max="10491" width="4" style="355" customWidth="1"/>
    <col min="10492" max="10492" width="3.125" style="355" customWidth="1"/>
    <col min="10493" max="10493" width="4" style="355" customWidth="1"/>
    <col min="10494" max="10494" width="3.125" style="355" customWidth="1"/>
    <col min="10495" max="10495" width="4" style="355" customWidth="1"/>
    <col min="10496" max="10496" width="3.125" style="355" customWidth="1"/>
    <col min="10497" max="10497" width="4" style="355" customWidth="1"/>
    <col min="10498" max="10498" width="3.125" style="355" customWidth="1"/>
    <col min="10499" max="10499" width="4" style="355" customWidth="1"/>
    <col min="10500" max="10500" width="3.125" style="355" customWidth="1"/>
    <col min="10501" max="10501" width="4" style="355" customWidth="1"/>
    <col min="10502" max="10503" width="3.375" style="355" customWidth="1"/>
    <col min="10504" max="10504" width="2.875" style="355" customWidth="1"/>
    <col min="10505" max="10505" width="8.375" style="355" customWidth="1"/>
    <col min="10506" max="10506" width="3.125" style="355" customWidth="1"/>
    <col min="10507" max="10507" width="4" style="355" customWidth="1"/>
    <col min="10508" max="10508" width="3.125" style="355" customWidth="1"/>
    <col min="10509" max="10509" width="4" style="355" customWidth="1"/>
    <col min="10510" max="10510" width="3.125" style="355" customWidth="1"/>
    <col min="10511" max="10511" width="4" style="355" customWidth="1"/>
    <col min="10512" max="10512" width="3.125" style="355" customWidth="1"/>
    <col min="10513" max="10513" width="4" style="355" customWidth="1"/>
    <col min="10514" max="10514" width="3.125" style="355" customWidth="1"/>
    <col min="10515" max="10515" width="4" style="355" customWidth="1"/>
    <col min="10516" max="10516" width="3.125" style="355" customWidth="1"/>
    <col min="10517" max="10517" width="4" style="355" customWidth="1"/>
    <col min="10518" max="10519" width="3.375" style="355" customWidth="1"/>
    <col min="10520" max="10520" width="1.125" style="355" customWidth="1"/>
    <col min="10521" max="10521" width="7.5" style="355"/>
    <col min="10522" max="10522" width="3.5" style="355" customWidth="1"/>
    <col min="10523" max="10528" width="3" style="355" customWidth="1"/>
    <col min="10529" max="10529" width="8.5" style="355" customWidth="1"/>
    <col min="10530" max="10743" width="7.5" style="355"/>
    <col min="10744" max="10744" width="1.75" style="355" customWidth="1"/>
    <col min="10745" max="10745" width="8.5" style="355" customWidth="1"/>
    <col min="10746" max="10746" width="3.125" style="355" customWidth="1"/>
    <col min="10747" max="10747" width="4" style="355" customWidth="1"/>
    <col min="10748" max="10748" width="3.125" style="355" customWidth="1"/>
    <col min="10749" max="10749" width="4" style="355" customWidth="1"/>
    <col min="10750" max="10750" width="3.125" style="355" customWidth="1"/>
    <col min="10751" max="10751" width="4" style="355" customWidth="1"/>
    <col min="10752" max="10752" width="3.125" style="355" customWidth="1"/>
    <col min="10753" max="10753" width="4" style="355" customWidth="1"/>
    <col min="10754" max="10754" width="3.125" style="355" customWidth="1"/>
    <col min="10755" max="10755" width="4" style="355" customWidth="1"/>
    <col min="10756" max="10756" width="3.125" style="355" customWidth="1"/>
    <col min="10757" max="10757" width="4" style="355" customWidth="1"/>
    <col min="10758" max="10759" width="3.375" style="355" customWidth="1"/>
    <col min="10760" max="10760" width="2.875" style="355" customWidth="1"/>
    <col min="10761" max="10761" width="8.375" style="355" customWidth="1"/>
    <col min="10762" max="10762" width="3.125" style="355" customWidth="1"/>
    <col min="10763" max="10763" width="4" style="355" customWidth="1"/>
    <col min="10764" max="10764" width="3.125" style="355" customWidth="1"/>
    <col min="10765" max="10765" width="4" style="355" customWidth="1"/>
    <col min="10766" max="10766" width="3.125" style="355" customWidth="1"/>
    <col min="10767" max="10767" width="4" style="355" customWidth="1"/>
    <col min="10768" max="10768" width="3.125" style="355" customWidth="1"/>
    <col min="10769" max="10769" width="4" style="355" customWidth="1"/>
    <col min="10770" max="10770" width="3.125" style="355" customWidth="1"/>
    <col min="10771" max="10771" width="4" style="355" customWidth="1"/>
    <col min="10772" max="10772" width="3.125" style="355" customWidth="1"/>
    <col min="10773" max="10773" width="4" style="355" customWidth="1"/>
    <col min="10774" max="10775" width="3.375" style="355" customWidth="1"/>
    <col min="10776" max="10776" width="1.125" style="355" customWidth="1"/>
    <col min="10777" max="10777" width="7.5" style="355"/>
    <col min="10778" max="10778" width="3.5" style="355" customWidth="1"/>
    <col min="10779" max="10784" width="3" style="355" customWidth="1"/>
    <col min="10785" max="10785" width="8.5" style="355" customWidth="1"/>
    <col min="10786" max="10999" width="7.5" style="355"/>
    <col min="11000" max="11000" width="1.75" style="355" customWidth="1"/>
    <col min="11001" max="11001" width="8.5" style="355" customWidth="1"/>
    <col min="11002" max="11002" width="3.125" style="355" customWidth="1"/>
    <col min="11003" max="11003" width="4" style="355" customWidth="1"/>
    <col min="11004" max="11004" width="3.125" style="355" customWidth="1"/>
    <col min="11005" max="11005" width="4" style="355" customWidth="1"/>
    <col min="11006" max="11006" width="3.125" style="355" customWidth="1"/>
    <col min="11007" max="11007" width="4" style="355" customWidth="1"/>
    <col min="11008" max="11008" width="3.125" style="355" customWidth="1"/>
    <col min="11009" max="11009" width="4" style="355" customWidth="1"/>
    <col min="11010" max="11010" width="3.125" style="355" customWidth="1"/>
    <col min="11011" max="11011" width="4" style="355" customWidth="1"/>
    <col min="11012" max="11012" width="3.125" style="355" customWidth="1"/>
    <col min="11013" max="11013" width="4" style="355" customWidth="1"/>
    <col min="11014" max="11015" width="3.375" style="355" customWidth="1"/>
    <col min="11016" max="11016" width="2.875" style="355" customWidth="1"/>
    <col min="11017" max="11017" width="8.375" style="355" customWidth="1"/>
    <col min="11018" max="11018" width="3.125" style="355" customWidth="1"/>
    <col min="11019" max="11019" width="4" style="355" customWidth="1"/>
    <col min="11020" max="11020" width="3.125" style="355" customWidth="1"/>
    <col min="11021" max="11021" width="4" style="355" customWidth="1"/>
    <col min="11022" max="11022" width="3.125" style="355" customWidth="1"/>
    <col min="11023" max="11023" width="4" style="355" customWidth="1"/>
    <col min="11024" max="11024" width="3.125" style="355" customWidth="1"/>
    <col min="11025" max="11025" width="4" style="355" customWidth="1"/>
    <col min="11026" max="11026" width="3.125" style="355" customWidth="1"/>
    <col min="11027" max="11027" width="4" style="355" customWidth="1"/>
    <col min="11028" max="11028" width="3.125" style="355" customWidth="1"/>
    <col min="11029" max="11029" width="4" style="355" customWidth="1"/>
    <col min="11030" max="11031" width="3.375" style="355" customWidth="1"/>
    <col min="11032" max="11032" width="1.125" style="355" customWidth="1"/>
    <col min="11033" max="11033" width="7.5" style="355"/>
    <col min="11034" max="11034" width="3.5" style="355" customWidth="1"/>
    <col min="11035" max="11040" width="3" style="355" customWidth="1"/>
    <col min="11041" max="11041" width="8.5" style="355" customWidth="1"/>
    <col min="11042" max="11255" width="7.5" style="355"/>
    <col min="11256" max="11256" width="1.75" style="355" customWidth="1"/>
    <col min="11257" max="11257" width="8.5" style="355" customWidth="1"/>
    <col min="11258" max="11258" width="3.125" style="355" customWidth="1"/>
    <col min="11259" max="11259" width="4" style="355" customWidth="1"/>
    <col min="11260" max="11260" width="3.125" style="355" customWidth="1"/>
    <col min="11261" max="11261" width="4" style="355" customWidth="1"/>
    <col min="11262" max="11262" width="3.125" style="355" customWidth="1"/>
    <col min="11263" max="11263" width="4" style="355" customWidth="1"/>
    <col min="11264" max="11264" width="3.125" style="355" customWidth="1"/>
    <col min="11265" max="11265" width="4" style="355" customWidth="1"/>
    <col min="11266" max="11266" width="3.125" style="355" customWidth="1"/>
    <col min="11267" max="11267" width="4" style="355" customWidth="1"/>
    <col min="11268" max="11268" width="3.125" style="355" customWidth="1"/>
    <col min="11269" max="11269" width="4" style="355" customWidth="1"/>
    <col min="11270" max="11271" width="3.375" style="355" customWidth="1"/>
    <col min="11272" max="11272" width="2.875" style="355" customWidth="1"/>
    <col min="11273" max="11273" width="8.375" style="355" customWidth="1"/>
    <col min="11274" max="11274" width="3.125" style="355" customWidth="1"/>
    <col min="11275" max="11275" width="4" style="355" customWidth="1"/>
    <col min="11276" max="11276" width="3.125" style="355" customWidth="1"/>
    <col min="11277" max="11277" width="4" style="355" customWidth="1"/>
    <col min="11278" max="11278" width="3.125" style="355" customWidth="1"/>
    <col min="11279" max="11279" width="4" style="355" customWidth="1"/>
    <col min="11280" max="11280" width="3.125" style="355" customWidth="1"/>
    <col min="11281" max="11281" width="4" style="355" customWidth="1"/>
    <col min="11282" max="11282" width="3.125" style="355" customWidth="1"/>
    <col min="11283" max="11283" width="4" style="355" customWidth="1"/>
    <col min="11284" max="11284" width="3.125" style="355" customWidth="1"/>
    <col min="11285" max="11285" width="4" style="355" customWidth="1"/>
    <col min="11286" max="11287" width="3.375" style="355" customWidth="1"/>
    <col min="11288" max="11288" width="1.125" style="355" customWidth="1"/>
    <col min="11289" max="11289" width="7.5" style="355"/>
    <col min="11290" max="11290" width="3.5" style="355" customWidth="1"/>
    <col min="11291" max="11296" width="3" style="355" customWidth="1"/>
    <col min="11297" max="11297" width="8.5" style="355" customWidth="1"/>
    <col min="11298" max="11511" width="7.5" style="355"/>
    <col min="11512" max="11512" width="1.75" style="355" customWidth="1"/>
    <col min="11513" max="11513" width="8.5" style="355" customWidth="1"/>
    <col min="11514" max="11514" width="3.125" style="355" customWidth="1"/>
    <col min="11515" max="11515" width="4" style="355" customWidth="1"/>
    <col min="11516" max="11516" width="3.125" style="355" customWidth="1"/>
    <col min="11517" max="11517" width="4" style="355" customWidth="1"/>
    <col min="11518" max="11518" width="3.125" style="355" customWidth="1"/>
    <col min="11519" max="11519" width="4" style="355" customWidth="1"/>
    <col min="11520" max="11520" width="3.125" style="355" customWidth="1"/>
    <col min="11521" max="11521" width="4" style="355" customWidth="1"/>
    <col min="11522" max="11522" width="3.125" style="355" customWidth="1"/>
    <col min="11523" max="11523" width="4" style="355" customWidth="1"/>
    <col min="11524" max="11524" width="3.125" style="355" customWidth="1"/>
    <col min="11525" max="11525" width="4" style="355" customWidth="1"/>
    <col min="11526" max="11527" width="3.375" style="355" customWidth="1"/>
    <col min="11528" max="11528" width="2.875" style="355" customWidth="1"/>
    <col min="11529" max="11529" width="8.375" style="355" customWidth="1"/>
    <col min="11530" max="11530" width="3.125" style="355" customWidth="1"/>
    <col min="11531" max="11531" width="4" style="355" customWidth="1"/>
    <col min="11532" max="11532" width="3.125" style="355" customWidth="1"/>
    <col min="11533" max="11533" width="4" style="355" customWidth="1"/>
    <col min="11534" max="11534" width="3.125" style="355" customWidth="1"/>
    <col min="11535" max="11535" width="4" style="355" customWidth="1"/>
    <col min="11536" max="11536" width="3.125" style="355" customWidth="1"/>
    <col min="11537" max="11537" width="4" style="355" customWidth="1"/>
    <col min="11538" max="11538" width="3.125" style="355" customWidth="1"/>
    <col min="11539" max="11539" width="4" style="355" customWidth="1"/>
    <col min="11540" max="11540" width="3.125" style="355" customWidth="1"/>
    <col min="11541" max="11541" width="4" style="355" customWidth="1"/>
    <col min="11542" max="11543" width="3.375" style="355" customWidth="1"/>
    <col min="11544" max="11544" width="1.125" style="355" customWidth="1"/>
    <col min="11545" max="11545" width="7.5" style="355"/>
    <col min="11546" max="11546" width="3.5" style="355" customWidth="1"/>
    <col min="11547" max="11552" width="3" style="355" customWidth="1"/>
    <col min="11553" max="11553" width="8.5" style="355" customWidth="1"/>
    <col min="11554" max="11767" width="7.5" style="355"/>
    <col min="11768" max="11768" width="1.75" style="355" customWidth="1"/>
    <col min="11769" max="11769" width="8.5" style="355" customWidth="1"/>
    <col min="11770" max="11770" width="3.125" style="355" customWidth="1"/>
    <col min="11771" max="11771" width="4" style="355" customWidth="1"/>
    <col min="11772" max="11772" width="3.125" style="355" customWidth="1"/>
    <col min="11773" max="11773" width="4" style="355" customWidth="1"/>
    <col min="11774" max="11774" width="3.125" style="355" customWidth="1"/>
    <col min="11775" max="11775" width="4" style="355" customWidth="1"/>
    <col min="11776" max="11776" width="3.125" style="355" customWidth="1"/>
    <col min="11777" max="11777" width="4" style="355" customWidth="1"/>
    <col min="11778" max="11778" width="3.125" style="355" customWidth="1"/>
    <col min="11779" max="11779" width="4" style="355" customWidth="1"/>
    <col min="11780" max="11780" width="3.125" style="355" customWidth="1"/>
    <col min="11781" max="11781" width="4" style="355" customWidth="1"/>
    <col min="11782" max="11783" width="3.375" style="355" customWidth="1"/>
    <col min="11784" max="11784" width="2.875" style="355" customWidth="1"/>
    <col min="11785" max="11785" width="8.375" style="355" customWidth="1"/>
    <col min="11786" max="11786" width="3.125" style="355" customWidth="1"/>
    <col min="11787" max="11787" width="4" style="355" customWidth="1"/>
    <col min="11788" max="11788" width="3.125" style="355" customWidth="1"/>
    <col min="11789" max="11789" width="4" style="355" customWidth="1"/>
    <col min="11790" max="11790" width="3.125" style="355" customWidth="1"/>
    <col min="11791" max="11791" width="4" style="355" customWidth="1"/>
    <col min="11792" max="11792" width="3.125" style="355" customWidth="1"/>
    <col min="11793" max="11793" width="4" style="355" customWidth="1"/>
    <col min="11794" max="11794" width="3.125" style="355" customWidth="1"/>
    <col min="11795" max="11795" width="4" style="355" customWidth="1"/>
    <col min="11796" max="11796" width="3.125" style="355" customWidth="1"/>
    <col min="11797" max="11797" width="4" style="355" customWidth="1"/>
    <col min="11798" max="11799" width="3.375" style="355" customWidth="1"/>
    <col min="11800" max="11800" width="1.125" style="355" customWidth="1"/>
    <col min="11801" max="11801" width="7.5" style="355"/>
    <col min="11802" max="11802" width="3.5" style="355" customWidth="1"/>
    <col min="11803" max="11808" width="3" style="355" customWidth="1"/>
    <col min="11809" max="11809" width="8.5" style="355" customWidth="1"/>
    <col min="11810" max="12023" width="7.5" style="355"/>
    <col min="12024" max="12024" width="1.75" style="355" customWidth="1"/>
    <col min="12025" max="12025" width="8.5" style="355" customWidth="1"/>
    <col min="12026" max="12026" width="3.125" style="355" customWidth="1"/>
    <col min="12027" max="12027" width="4" style="355" customWidth="1"/>
    <col min="12028" max="12028" width="3.125" style="355" customWidth="1"/>
    <col min="12029" max="12029" width="4" style="355" customWidth="1"/>
    <col min="12030" max="12030" width="3.125" style="355" customWidth="1"/>
    <col min="12031" max="12031" width="4" style="355" customWidth="1"/>
    <col min="12032" max="12032" width="3.125" style="355" customWidth="1"/>
    <col min="12033" max="12033" width="4" style="355" customWidth="1"/>
    <col min="12034" max="12034" width="3.125" style="355" customWidth="1"/>
    <col min="12035" max="12035" width="4" style="355" customWidth="1"/>
    <col min="12036" max="12036" width="3.125" style="355" customWidth="1"/>
    <col min="12037" max="12037" width="4" style="355" customWidth="1"/>
    <col min="12038" max="12039" width="3.375" style="355" customWidth="1"/>
    <col min="12040" max="12040" width="2.875" style="355" customWidth="1"/>
    <col min="12041" max="12041" width="8.375" style="355" customWidth="1"/>
    <col min="12042" max="12042" width="3.125" style="355" customWidth="1"/>
    <col min="12043" max="12043" width="4" style="355" customWidth="1"/>
    <col min="12044" max="12044" width="3.125" style="355" customWidth="1"/>
    <col min="12045" max="12045" width="4" style="355" customWidth="1"/>
    <col min="12046" max="12046" width="3.125" style="355" customWidth="1"/>
    <col min="12047" max="12047" width="4" style="355" customWidth="1"/>
    <col min="12048" max="12048" width="3.125" style="355" customWidth="1"/>
    <col min="12049" max="12049" width="4" style="355" customWidth="1"/>
    <col min="12050" max="12050" width="3.125" style="355" customWidth="1"/>
    <col min="12051" max="12051" width="4" style="355" customWidth="1"/>
    <col min="12052" max="12052" width="3.125" style="355" customWidth="1"/>
    <col min="12053" max="12053" width="4" style="355" customWidth="1"/>
    <col min="12054" max="12055" width="3.375" style="355" customWidth="1"/>
    <col min="12056" max="12056" width="1.125" style="355" customWidth="1"/>
    <col min="12057" max="12057" width="7.5" style="355"/>
    <col min="12058" max="12058" width="3.5" style="355" customWidth="1"/>
    <col min="12059" max="12064" width="3" style="355" customWidth="1"/>
    <col min="12065" max="12065" width="8.5" style="355" customWidth="1"/>
    <col min="12066" max="12279" width="7.5" style="355"/>
    <col min="12280" max="12280" width="1.75" style="355" customWidth="1"/>
    <col min="12281" max="12281" width="8.5" style="355" customWidth="1"/>
    <col min="12282" max="12282" width="3.125" style="355" customWidth="1"/>
    <col min="12283" max="12283" width="4" style="355" customWidth="1"/>
    <col min="12284" max="12284" width="3.125" style="355" customWidth="1"/>
    <col min="12285" max="12285" width="4" style="355" customWidth="1"/>
    <col min="12286" max="12286" width="3.125" style="355" customWidth="1"/>
    <col min="12287" max="12287" width="4" style="355" customWidth="1"/>
    <col min="12288" max="12288" width="3.125" style="355" customWidth="1"/>
    <col min="12289" max="12289" width="4" style="355" customWidth="1"/>
    <col min="12290" max="12290" width="3.125" style="355" customWidth="1"/>
    <col min="12291" max="12291" width="4" style="355" customWidth="1"/>
    <col min="12292" max="12292" width="3.125" style="355" customWidth="1"/>
    <col min="12293" max="12293" width="4" style="355" customWidth="1"/>
    <col min="12294" max="12295" width="3.375" style="355" customWidth="1"/>
    <col min="12296" max="12296" width="2.875" style="355" customWidth="1"/>
    <col min="12297" max="12297" width="8.375" style="355" customWidth="1"/>
    <col min="12298" max="12298" width="3.125" style="355" customWidth="1"/>
    <col min="12299" max="12299" width="4" style="355" customWidth="1"/>
    <col min="12300" max="12300" width="3.125" style="355" customWidth="1"/>
    <col min="12301" max="12301" width="4" style="355" customWidth="1"/>
    <col min="12302" max="12302" width="3.125" style="355" customWidth="1"/>
    <col min="12303" max="12303" width="4" style="355" customWidth="1"/>
    <col min="12304" max="12304" width="3.125" style="355" customWidth="1"/>
    <col min="12305" max="12305" width="4" style="355" customWidth="1"/>
    <col min="12306" max="12306" width="3.125" style="355" customWidth="1"/>
    <col min="12307" max="12307" width="4" style="355" customWidth="1"/>
    <col min="12308" max="12308" width="3.125" style="355" customWidth="1"/>
    <col min="12309" max="12309" width="4" style="355" customWidth="1"/>
    <col min="12310" max="12311" width="3.375" style="355" customWidth="1"/>
    <col min="12312" max="12312" width="1.125" style="355" customWidth="1"/>
    <col min="12313" max="12313" width="7.5" style="355"/>
    <col min="12314" max="12314" width="3.5" style="355" customWidth="1"/>
    <col min="12315" max="12320" width="3" style="355" customWidth="1"/>
    <col min="12321" max="12321" width="8.5" style="355" customWidth="1"/>
    <col min="12322" max="12535" width="7.5" style="355"/>
    <col min="12536" max="12536" width="1.75" style="355" customWidth="1"/>
    <col min="12537" max="12537" width="8.5" style="355" customWidth="1"/>
    <col min="12538" max="12538" width="3.125" style="355" customWidth="1"/>
    <col min="12539" max="12539" width="4" style="355" customWidth="1"/>
    <col min="12540" max="12540" width="3.125" style="355" customWidth="1"/>
    <col min="12541" max="12541" width="4" style="355" customWidth="1"/>
    <col min="12542" max="12542" width="3.125" style="355" customWidth="1"/>
    <col min="12543" max="12543" width="4" style="355" customWidth="1"/>
    <col min="12544" max="12544" width="3.125" style="355" customWidth="1"/>
    <col min="12545" max="12545" width="4" style="355" customWidth="1"/>
    <col min="12546" max="12546" width="3.125" style="355" customWidth="1"/>
    <col min="12547" max="12547" width="4" style="355" customWidth="1"/>
    <col min="12548" max="12548" width="3.125" style="355" customWidth="1"/>
    <col min="12549" max="12549" width="4" style="355" customWidth="1"/>
    <col min="12550" max="12551" width="3.375" style="355" customWidth="1"/>
    <col min="12552" max="12552" width="2.875" style="355" customWidth="1"/>
    <col min="12553" max="12553" width="8.375" style="355" customWidth="1"/>
    <col min="12554" max="12554" width="3.125" style="355" customWidth="1"/>
    <col min="12555" max="12555" width="4" style="355" customWidth="1"/>
    <col min="12556" max="12556" width="3.125" style="355" customWidth="1"/>
    <col min="12557" max="12557" width="4" style="355" customWidth="1"/>
    <col min="12558" max="12558" width="3.125" style="355" customWidth="1"/>
    <col min="12559" max="12559" width="4" style="355" customWidth="1"/>
    <col min="12560" max="12560" width="3.125" style="355" customWidth="1"/>
    <col min="12561" max="12561" width="4" style="355" customWidth="1"/>
    <col min="12562" max="12562" width="3.125" style="355" customWidth="1"/>
    <col min="12563" max="12563" width="4" style="355" customWidth="1"/>
    <col min="12564" max="12564" width="3.125" style="355" customWidth="1"/>
    <col min="12565" max="12565" width="4" style="355" customWidth="1"/>
    <col min="12566" max="12567" width="3.375" style="355" customWidth="1"/>
    <col min="12568" max="12568" width="1.125" style="355" customWidth="1"/>
    <col min="12569" max="12569" width="7.5" style="355"/>
    <col min="12570" max="12570" width="3.5" style="355" customWidth="1"/>
    <col min="12571" max="12576" width="3" style="355" customWidth="1"/>
    <col min="12577" max="12577" width="8.5" style="355" customWidth="1"/>
    <col min="12578" max="12791" width="7.5" style="355"/>
    <col min="12792" max="12792" width="1.75" style="355" customWidth="1"/>
    <col min="12793" max="12793" width="8.5" style="355" customWidth="1"/>
    <col min="12794" max="12794" width="3.125" style="355" customWidth="1"/>
    <col min="12795" max="12795" width="4" style="355" customWidth="1"/>
    <col min="12796" max="12796" width="3.125" style="355" customWidth="1"/>
    <col min="12797" max="12797" width="4" style="355" customWidth="1"/>
    <col min="12798" max="12798" width="3.125" style="355" customWidth="1"/>
    <col min="12799" max="12799" width="4" style="355" customWidth="1"/>
    <col min="12800" max="12800" width="3.125" style="355" customWidth="1"/>
    <col min="12801" max="12801" width="4" style="355" customWidth="1"/>
    <col min="12802" max="12802" width="3.125" style="355" customWidth="1"/>
    <col min="12803" max="12803" width="4" style="355" customWidth="1"/>
    <col min="12804" max="12804" width="3.125" style="355" customWidth="1"/>
    <col min="12805" max="12805" width="4" style="355" customWidth="1"/>
    <col min="12806" max="12807" width="3.375" style="355" customWidth="1"/>
    <col min="12808" max="12808" width="2.875" style="355" customWidth="1"/>
    <col min="12809" max="12809" width="8.375" style="355" customWidth="1"/>
    <col min="12810" max="12810" width="3.125" style="355" customWidth="1"/>
    <col min="12811" max="12811" width="4" style="355" customWidth="1"/>
    <col min="12812" max="12812" width="3.125" style="355" customWidth="1"/>
    <col min="12813" max="12813" width="4" style="355" customWidth="1"/>
    <col min="12814" max="12814" width="3.125" style="355" customWidth="1"/>
    <col min="12815" max="12815" width="4" style="355" customWidth="1"/>
    <col min="12816" max="12816" width="3.125" style="355" customWidth="1"/>
    <col min="12817" max="12817" width="4" style="355" customWidth="1"/>
    <col min="12818" max="12818" width="3.125" style="355" customWidth="1"/>
    <col min="12819" max="12819" width="4" style="355" customWidth="1"/>
    <col min="12820" max="12820" width="3.125" style="355" customWidth="1"/>
    <col min="12821" max="12821" width="4" style="355" customWidth="1"/>
    <col min="12822" max="12823" width="3.375" style="355" customWidth="1"/>
    <col min="12824" max="12824" width="1.125" style="355" customWidth="1"/>
    <col min="12825" max="12825" width="7.5" style="355"/>
    <col min="12826" max="12826" width="3.5" style="355" customWidth="1"/>
    <col min="12827" max="12832" width="3" style="355" customWidth="1"/>
    <col min="12833" max="12833" width="8.5" style="355" customWidth="1"/>
    <col min="12834" max="13047" width="7.5" style="355"/>
    <col min="13048" max="13048" width="1.75" style="355" customWidth="1"/>
    <col min="13049" max="13049" width="8.5" style="355" customWidth="1"/>
    <col min="13050" max="13050" width="3.125" style="355" customWidth="1"/>
    <col min="13051" max="13051" width="4" style="355" customWidth="1"/>
    <col min="13052" max="13052" width="3.125" style="355" customWidth="1"/>
    <col min="13053" max="13053" width="4" style="355" customWidth="1"/>
    <col min="13054" max="13054" width="3.125" style="355" customWidth="1"/>
    <col min="13055" max="13055" width="4" style="355" customWidth="1"/>
    <col min="13056" max="13056" width="3.125" style="355" customWidth="1"/>
    <col min="13057" max="13057" width="4" style="355" customWidth="1"/>
    <col min="13058" max="13058" width="3.125" style="355" customWidth="1"/>
    <col min="13059" max="13059" width="4" style="355" customWidth="1"/>
    <col min="13060" max="13060" width="3.125" style="355" customWidth="1"/>
    <col min="13061" max="13061" width="4" style="355" customWidth="1"/>
    <col min="13062" max="13063" width="3.375" style="355" customWidth="1"/>
    <col min="13064" max="13064" width="2.875" style="355" customWidth="1"/>
    <col min="13065" max="13065" width="8.375" style="355" customWidth="1"/>
    <col min="13066" max="13066" width="3.125" style="355" customWidth="1"/>
    <col min="13067" max="13067" width="4" style="355" customWidth="1"/>
    <col min="13068" max="13068" width="3.125" style="355" customWidth="1"/>
    <col min="13069" max="13069" width="4" style="355" customWidth="1"/>
    <col min="13070" max="13070" width="3.125" style="355" customWidth="1"/>
    <col min="13071" max="13071" width="4" style="355" customWidth="1"/>
    <col min="13072" max="13072" width="3.125" style="355" customWidth="1"/>
    <col min="13073" max="13073" width="4" style="355" customWidth="1"/>
    <col min="13074" max="13074" width="3.125" style="355" customWidth="1"/>
    <col min="13075" max="13075" width="4" style="355" customWidth="1"/>
    <col min="13076" max="13076" width="3.125" style="355" customWidth="1"/>
    <col min="13077" max="13077" width="4" style="355" customWidth="1"/>
    <col min="13078" max="13079" width="3.375" style="355" customWidth="1"/>
    <col min="13080" max="13080" width="1.125" style="355" customWidth="1"/>
    <col min="13081" max="13081" width="7.5" style="355"/>
    <col min="13082" max="13082" width="3.5" style="355" customWidth="1"/>
    <col min="13083" max="13088" width="3" style="355" customWidth="1"/>
    <col min="13089" max="13089" width="8.5" style="355" customWidth="1"/>
    <col min="13090" max="13303" width="7.5" style="355"/>
    <col min="13304" max="13304" width="1.75" style="355" customWidth="1"/>
    <col min="13305" max="13305" width="8.5" style="355" customWidth="1"/>
    <col min="13306" max="13306" width="3.125" style="355" customWidth="1"/>
    <col min="13307" max="13307" width="4" style="355" customWidth="1"/>
    <col min="13308" max="13308" width="3.125" style="355" customWidth="1"/>
    <col min="13309" max="13309" width="4" style="355" customWidth="1"/>
    <col min="13310" max="13310" width="3.125" style="355" customWidth="1"/>
    <col min="13311" max="13311" width="4" style="355" customWidth="1"/>
    <col min="13312" max="13312" width="3.125" style="355" customWidth="1"/>
    <col min="13313" max="13313" width="4" style="355" customWidth="1"/>
    <col min="13314" max="13314" width="3.125" style="355" customWidth="1"/>
    <col min="13315" max="13315" width="4" style="355" customWidth="1"/>
    <col min="13316" max="13316" width="3.125" style="355" customWidth="1"/>
    <col min="13317" max="13317" width="4" style="355" customWidth="1"/>
    <col min="13318" max="13319" width="3.375" style="355" customWidth="1"/>
    <col min="13320" max="13320" width="2.875" style="355" customWidth="1"/>
    <col min="13321" max="13321" width="8.375" style="355" customWidth="1"/>
    <col min="13322" max="13322" width="3.125" style="355" customWidth="1"/>
    <col min="13323" max="13323" width="4" style="355" customWidth="1"/>
    <col min="13324" max="13324" width="3.125" style="355" customWidth="1"/>
    <col min="13325" max="13325" width="4" style="355" customWidth="1"/>
    <col min="13326" max="13326" width="3.125" style="355" customWidth="1"/>
    <col min="13327" max="13327" width="4" style="355" customWidth="1"/>
    <col min="13328" max="13328" width="3.125" style="355" customWidth="1"/>
    <col min="13329" max="13329" width="4" style="355" customWidth="1"/>
    <col min="13330" max="13330" width="3.125" style="355" customWidth="1"/>
    <col min="13331" max="13331" width="4" style="355" customWidth="1"/>
    <col min="13332" max="13332" width="3.125" style="355" customWidth="1"/>
    <col min="13333" max="13333" width="4" style="355" customWidth="1"/>
    <col min="13334" max="13335" width="3.375" style="355" customWidth="1"/>
    <col min="13336" max="13336" width="1.125" style="355" customWidth="1"/>
    <col min="13337" max="13337" width="7.5" style="355"/>
    <col min="13338" max="13338" width="3.5" style="355" customWidth="1"/>
    <col min="13339" max="13344" width="3" style="355" customWidth="1"/>
    <col min="13345" max="13345" width="8.5" style="355" customWidth="1"/>
    <col min="13346" max="13559" width="7.5" style="355"/>
    <col min="13560" max="13560" width="1.75" style="355" customWidth="1"/>
    <col min="13561" max="13561" width="8.5" style="355" customWidth="1"/>
    <col min="13562" max="13562" width="3.125" style="355" customWidth="1"/>
    <col min="13563" max="13563" width="4" style="355" customWidth="1"/>
    <col min="13564" max="13564" width="3.125" style="355" customWidth="1"/>
    <col min="13565" max="13565" width="4" style="355" customWidth="1"/>
    <col min="13566" max="13566" width="3.125" style="355" customWidth="1"/>
    <col min="13567" max="13567" width="4" style="355" customWidth="1"/>
    <col min="13568" max="13568" width="3.125" style="355" customWidth="1"/>
    <col min="13569" max="13569" width="4" style="355" customWidth="1"/>
    <col min="13570" max="13570" width="3.125" style="355" customWidth="1"/>
    <col min="13571" max="13571" width="4" style="355" customWidth="1"/>
    <col min="13572" max="13572" width="3.125" style="355" customWidth="1"/>
    <col min="13573" max="13573" width="4" style="355" customWidth="1"/>
    <col min="13574" max="13575" width="3.375" style="355" customWidth="1"/>
    <col min="13576" max="13576" width="2.875" style="355" customWidth="1"/>
    <col min="13577" max="13577" width="8.375" style="355" customWidth="1"/>
    <col min="13578" max="13578" width="3.125" style="355" customWidth="1"/>
    <col min="13579" max="13579" width="4" style="355" customWidth="1"/>
    <col min="13580" max="13580" width="3.125" style="355" customWidth="1"/>
    <col min="13581" max="13581" width="4" style="355" customWidth="1"/>
    <col min="13582" max="13582" width="3.125" style="355" customWidth="1"/>
    <col min="13583" max="13583" width="4" style="355" customWidth="1"/>
    <col min="13584" max="13584" width="3.125" style="355" customWidth="1"/>
    <col min="13585" max="13585" width="4" style="355" customWidth="1"/>
    <col min="13586" max="13586" width="3.125" style="355" customWidth="1"/>
    <col min="13587" max="13587" width="4" style="355" customWidth="1"/>
    <col min="13588" max="13588" width="3.125" style="355" customWidth="1"/>
    <col min="13589" max="13589" width="4" style="355" customWidth="1"/>
    <col min="13590" max="13591" width="3.375" style="355" customWidth="1"/>
    <col min="13592" max="13592" width="1.125" style="355" customWidth="1"/>
    <col min="13593" max="13593" width="7.5" style="355"/>
    <col min="13594" max="13594" width="3.5" style="355" customWidth="1"/>
    <col min="13595" max="13600" width="3" style="355" customWidth="1"/>
    <col min="13601" max="13601" width="8.5" style="355" customWidth="1"/>
    <col min="13602" max="13815" width="7.5" style="355"/>
    <col min="13816" max="13816" width="1.75" style="355" customWidth="1"/>
    <col min="13817" max="13817" width="8.5" style="355" customWidth="1"/>
    <col min="13818" max="13818" width="3.125" style="355" customWidth="1"/>
    <col min="13819" max="13819" width="4" style="355" customWidth="1"/>
    <col min="13820" max="13820" width="3.125" style="355" customWidth="1"/>
    <col min="13821" max="13821" width="4" style="355" customWidth="1"/>
    <col min="13822" max="13822" width="3.125" style="355" customWidth="1"/>
    <col min="13823" max="13823" width="4" style="355" customWidth="1"/>
    <col min="13824" max="13824" width="3.125" style="355" customWidth="1"/>
    <col min="13825" max="13825" width="4" style="355" customWidth="1"/>
    <col min="13826" max="13826" width="3.125" style="355" customWidth="1"/>
    <col min="13827" max="13827" width="4" style="355" customWidth="1"/>
    <col min="13828" max="13828" width="3.125" style="355" customWidth="1"/>
    <col min="13829" max="13829" width="4" style="355" customWidth="1"/>
    <col min="13830" max="13831" width="3.375" style="355" customWidth="1"/>
    <col min="13832" max="13832" width="2.875" style="355" customWidth="1"/>
    <col min="13833" max="13833" width="8.375" style="355" customWidth="1"/>
    <col min="13834" max="13834" width="3.125" style="355" customWidth="1"/>
    <col min="13835" max="13835" width="4" style="355" customWidth="1"/>
    <col min="13836" max="13836" width="3.125" style="355" customWidth="1"/>
    <col min="13837" max="13837" width="4" style="355" customWidth="1"/>
    <col min="13838" max="13838" width="3.125" style="355" customWidth="1"/>
    <col min="13839" max="13839" width="4" style="355" customWidth="1"/>
    <col min="13840" max="13840" width="3.125" style="355" customWidth="1"/>
    <col min="13841" max="13841" width="4" style="355" customWidth="1"/>
    <col min="13842" max="13842" width="3.125" style="355" customWidth="1"/>
    <col min="13843" max="13843" width="4" style="355" customWidth="1"/>
    <col min="13844" max="13844" width="3.125" style="355" customWidth="1"/>
    <col min="13845" max="13845" width="4" style="355" customWidth="1"/>
    <col min="13846" max="13847" width="3.375" style="355" customWidth="1"/>
    <col min="13848" max="13848" width="1.125" style="355" customWidth="1"/>
    <col min="13849" max="13849" width="7.5" style="355"/>
    <col min="13850" max="13850" width="3.5" style="355" customWidth="1"/>
    <col min="13851" max="13856" width="3" style="355" customWidth="1"/>
    <col min="13857" max="13857" width="8.5" style="355" customWidth="1"/>
    <col min="13858" max="14071" width="7.5" style="355"/>
    <col min="14072" max="14072" width="1.75" style="355" customWidth="1"/>
    <col min="14073" max="14073" width="8.5" style="355" customWidth="1"/>
    <col min="14074" max="14074" width="3.125" style="355" customWidth="1"/>
    <col min="14075" max="14075" width="4" style="355" customWidth="1"/>
    <col min="14076" max="14076" width="3.125" style="355" customWidth="1"/>
    <col min="14077" max="14077" width="4" style="355" customWidth="1"/>
    <col min="14078" max="14078" width="3.125" style="355" customWidth="1"/>
    <col min="14079" max="14079" width="4" style="355" customWidth="1"/>
    <col min="14080" max="14080" width="3.125" style="355" customWidth="1"/>
    <col min="14081" max="14081" width="4" style="355" customWidth="1"/>
    <col min="14082" max="14082" width="3.125" style="355" customWidth="1"/>
    <col min="14083" max="14083" width="4" style="355" customWidth="1"/>
    <col min="14084" max="14084" width="3.125" style="355" customWidth="1"/>
    <col min="14085" max="14085" width="4" style="355" customWidth="1"/>
    <col min="14086" max="14087" width="3.375" style="355" customWidth="1"/>
    <col min="14088" max="14088" width="2.875" style="355" customWidth="1"/>
    <col min="14089" max="14089" width="8.375" style="355" customWidth="1"/>
    <col min="14090" max="14090" width="3.125" style="355" customWidth="1"/>
    <col min="14091" max="14091" width="4" style="355" customWidth="1"/>
    <col min="14092" max="14092" width="3.125" style="355" customWidth="1"/>
    <col min="14093" max="14093" width="4" style="355" customWidth="1"/>
    <col min="14094" max="14094" width="3.125" style="355" customWidth="1"/>
    <col min="14095" max="14095" width="4" style="355" customWidth="1"/>
    <col min="14096" max="14096" width="3.125" style="355" customWidth="1"/>
    <col min="14097" max="14097" width="4" style="355" customWidth="1"/>
    <col min="14098" max="14098" width="3.125" style="355" customWidth="1"/>
    <col min="14099" max="14099" width="4" style="355" customWidth="1"/>
    <col min="14100" max="14100" width="3.125" style="355" customWidth="1"/>
    <col min="14101" max="14101" width="4" style="355" customWidth="1"/>
    <col min="14102" max="14103" width="3.375" style="355" customWidth="1"/>
    <col min="14104" max="14104" width="1.125" style="355" customWidth="1"/>
    <col min="14105" max="14105" width="7.5" style="355"/>
    <col min="14106" max="14106" width="3.5" style="355" customWidth="1"/>
    <col min="14107" max="14112" width="3" style="355" customWidth="1"/>
    <col min="14113" max="14113" width="8.5" style="355" customWidth="1"/>
    <col min="14114" max="14327" width="7.5" style="355"/>
    <col min="14328" max="14328" width="1.75" style="355" customWidth="1"/>
    <col min="14329" max="14329" width="8.5" style="355" customWidth="1"/>
    <col min="14330" max="14330" width="3.125" style="355" customWidth="1"/>
    <col min="14331" max="14331" width="4" style="355" customWidth="1"/>
    <col min="14332" max="14332" width="3.125" style="355" customWidth="1"/>
    <col min="14333" max="14333" width="4" style="355" customWidth="1"/>
    <col min="14334" max="14334" width="3.125" style="355" customWidth="1"/>
    <col min="14335" max="14335" width="4" style="355" customWidth="1"/>
    <col min="14336" max="14336" width="3.125" style="355" customWidth="1"/>
    <col min="14337" max="14337" width="4" style="355" customWidth="1"/>
    <col min="14338" max="14338" width="3.125" style="355" customWidth="1"/>
    <col min="14339" max="14339" width="4" style="355" customWidth="1"/>
    <col min="14340" max="14340" width="3.125" style="355" customWidth="1"/>
    <col min="14341" max="14341" width="4" style="355" customWidth="1"/>
    <col min="14342" max="14343" width="3.375" style="355" customWidth="1"/>
    <col min="14344" max="14344" width="2.875" style="355" customWidth="1"/>
    <col min="14345" max="14345" width="8.375" style="355" customWidth="1"/>
    <col min="14346" max="14346" width="3.125" style="355" customWidth="1"/>
    <col min="14347" max="14347" width="4" style="355" customWidth="1"/>
    <col min="14348" max="14348" width="3.125" style="355" customWidth="1"/>
    <col min="14349" max="14349" width="4" style="355" customWidth="1"/>
    <col min="14350" max="14350" width="3.125" style="355" customWidth="1"/>
    <col min="14351" max="14351" width="4" style="355" customWidth="1"/>
    <col min="14352" max="14352" width="3.125" style="355" customWidth="1"/>
    <col min="14353" max="14353" width="4" style="355" customWidth="1"/>
    <col min="14354" max="14354" width="3.125" style="355" customWidth="1"/>
    <col min="14355" max="14355" width="4" style="355" customWidth="1"/>
    <col min="14356" max="14356" width="3.125" style="355" customWidth="1"/>
    <col min="14357" max="14357" width="4" style="355" customWidth="1"/>
    <col min="14358" max="14359" width="3.375" style="355" customWidth="1"/>
    <col min="14360" max="14360" width="1.125" style="355" customWidth="1"/>
    <col min="14361" max="14361" width="7.5" style="355"/>
    <col min="14362" max="14362" width="3.5" style="355" customWidth="1"/>
    <col min="14363" max="14368" width="3" style="355" customWidth="1"/>
    <col min="14369" max="14369" width="8.5" style="355" customWidth="1"/>
    <col min="14370" max="14583" width="7.5" style="355"/>
    <col min="14584" max="14584" width="1.75" style="355" customWidth="1"/>
    <col min="14585" max="14585" width="8.5" style="355" customWidth="1"/>
    <col min="14586" max="14586" width="3.125" style="355" customWidth="1"/>
    <col min="14587" max="14587" width="4" style="355" customWidth="1"/>
    <col min="14588" max="14588" width="3.125" style="355" customWidth="1"/>
    <col min="14589" max="14589" width="4" style="355" customWidth="1"/>
    <col min="14590" max="14590" width="3.125" style="355" customWidth="1"/>
    <col min="14591" max="14591" width="4" style="355" customWidth="1"/>
    <col min="14592" max="14592" width="3.125" style="355" customWidth="1"/>
    <col min="14593" max="14593" width="4" style="355" customWidth="1"/>
    <col min="14594" max="14594" width="3.125" style="355" customWidth="1"/>
    <col min="14595" max="14595" width="4" style="355" customWidth="1"/>
    <col min="14596" max="14596" width="3.125" style="355" customWidth="1"/>
    <col min="14597" max="14597" width="4" style="355" customWidth="1"/>
    <col min="14598" max="14599" width="3.375" style="355" customWidth="1"/>
    <col min="14600" max="14600" width="2.875" style="355" customWidth="1"/>
    <col min="14601" max="14601" width="8.375" style="355" customWidth="1"/>
    <col min="14602" max="14602" width="3.125" style="355" customWidth="1"/>
    <col min="14603" max="14603" width="4" style="355" customWidth="1"/>
    <col min="14604" max="14604" width="3.125" style="355" customWidth="1"/>
    <col min="14605" max="14605" width="4" style="355" customWidth="1"/>
    <col min="14606" max="14606" width="3.125" style="355" customWidth="1"/>
    <col min="14607" max="14607" width="4" style="355" customWidth="1"/>
    <col min="14608" max="14608" width="3.125" style="355" customWidth="1"/>
    <col min="14609" max="14609" width="4" style="355" customWidth="1"/>
    <col min="14610" max="14610" width="3.125" style="355" customWidth="1"/>
    <col min="14611" max="14611" width="4" style="355" customWidth="1"/>
    <col min="14612" max="14612" width="3.125" style="355" customWidth="1"/>
    <col min="14613" max="14613" width="4" style="355" customWidth="1"/>
    <col min="14614" max="14615" width="3.375" style="355" customWidth="1"/>
    <col min="14616" max="14616" width="1.125" style="355" customWidth="1"/>
    <col min="14617" max="14617" width="7.5" style="355"/>
    <col min="14618" max="14618" width="3.5" style="355" customWidth="1"/>
    <col min="14619" max="14624" width="3" style="355" customWidth="1"/>
    <col min="14625" max="14625" width="8.5" style="355" customWidth="1"/>
    <col min="14626" max="14839" width="7.5" style="355"/>
    <col min="14840" max="14840" width="1.75" style="355" customWidth="1"/>
    <col min="14841" max="14841" width="8.5" style="355" customWidth="1"/>
    <col min="14842" max="14842" width="3.125" style="355" customWidth="1"/>
    <col min="14843" max="14843" width="4" style="355" customWidth="1"/>
    <col min="14844" max="14844" width="3.125" style="355" customWidth="1"/>
    <col min="14845" max="14845" width="4" style="355" customWidth="1"/>
    <col min="14846" max="14846" width="3.125" style="355" customWidth="1"/>
    <col min="14847" max="14847" width="4" style="355" customWidth="1"/>
    <col min="14848" max="14848" width="3.125" style="355" customWidth="1"/>
    <col min="14849" max="14849" width="4" style="355" customWidth="1"/>
    <col min="14850" max="14850" width="3.125" style="355" customWidth="1"/>
    <col min="14851" max="14851" width="4" style="355" customWidth="1"/>
    <col min="14852" max="14852" width="3.125" style="355" customWidth="1"/>
    <col min="14853" max="14853" width="4" style="355" customWidth="1"/>
    <col min="14854" max="14855" width="3.375" style="355" customWidth="1"/>
    <col min="14856" max="14856" width="2.875" style="355" customWidth="1"/>
    <col min="14857" max="14857" width="8.375" style="355" customWidth="1"/>
    <col min="14858" max="14858" width="3.125" style="355" customWidth="1"/>
    <col min="14859" max="14859" width="4" style="355" customWidth="1"/>
    <col min="14860" max="14860" width="3.125" style="355" customWidth="1"/>
    <col min="14861" max="14861" width="4" style="355" customWidth="1"/>
    <col min="14862" max="14862" width="3.125" style="355" customWidth="1"/>
    <col min="14863" max="14863" width="4" style="355" customWidth="1"/>
    <col min="14864" max="14864" width="3.125" style="355" customWidth="1"/>
    <col min="14865" max="14865" width="4" style="355" customWidth="1"/>
    <col min="14866" max="14866" width="3.125" style="355" customWidth="1"/>
    <col min="14867" max="14867" width="4" style="355" customWidth="1"/>
    <col min="14868" max="14868" width="3.125" style="355" customWidth="1"/>
    <col min="14869" max="14869" width="4" style="355" customWidth="1"/>
    <col min="14870" max="14871" width="3.375" style="355" customWidth="1"/>
    <col min="14872" max="14872" width="1.125" style="355" customWidth="1"/>
    <col min="14873" max="14873" width="7.5" style="355"/>
    <col min="14874" max="14874" width="3.5" style="355" customWidth="1"/>
    <col min="14875" max="14880" width="3" style="355" customWidth="1"/>
    <col min="14881" max="14881" width="8.5" style="355" customWidth="1"/>
    <col min="14882" max="15095" width="7.5" style="355"/>
    <col min="15096" max="15096" width="1.75" style="355" customWidth="1"/>
    <col min="15097" max="15097" width="8.5" style="355" customWidth="1"/>
    <col min="15098" max="15098" width="3.125" style="355" customWidth="1"/>
    <col min="15099" max="15099" width="4" style="355" customWidth="1"/>
    <col min="15100" max="15100" width="3.125" style="355" customWidth="1"/>
    <col min="15101" max="15101" width="4" style="355" customWidth="1"/>
    <col min="15102" max="15102" width="3.125" style="355" customWidth="1"/>
    <col min="15103" max="15103" width="4" style="355" customWidth="1"/>
    <col min="15104" max="15104" width="3.125" style="355" customWidth="1"/>
    <col min="15105" max="15105" width="4" style="355" customWidth="1"/>
    <col min="15106" max="15106" width="3.125" style="355" customWidth="1"/>
    <col min="15107" max="15107" width="4" style="355" customWidth="1"/>
    <col min="15108" max="15108" width="3.125" style="355" customWidth="1"/>
    <col min="15109" max="15109" width="4" style="355" customWidth="1"/>
    <col min="15110" max="15111" width="3.375" style="355" customWidth="1"/>
    <col min="15112" max="15112" width="2.875" style="355" customWidth="1"/>
    <col min="15113" max="15113" width="8.375" style="355" customWidth="1"/>
    <col min="15114" max="15114" width="3.125" style="355" customWidth="1"/>
    <col min="15115" max="15115" width="4" style="355" customWidth="1"/>
    <col min="15116" max="15116" width="3.125" style="355" customWidth="1"/>
    <col min="15117" max="15117" width="4" style="355" customWidth="1"/>
    <col min="15118" max="15118" width="3.125" style="355" customWidth="1"/>
    <col min="15119" max="15119" width="4" style="355" customWidth="1"/>
    <col min="15120" max="15120" width="3.125" style="355" customWidth="1"/>
    <col min="15121" max="15121" width="4" style="355" customWidth="1"/>
    <col min="15122" max="15122" width="3.125" style="355" customWidth="1"/>
    <col min="15123" max="15123" width="4" style="355" customWidth="1"/>
    <col min="15124" max="15124" width="3.125" style="355" customWidth="1"/>
    <col min="15125" max="15125" width="4" style="355" customWidth="1"/>
    <col min="15126" max="15127" width="3.375" style="355" customWidth="1"/>
    <col min="15128" max="15128" width="1.125" style="355" customWidth="1"/>
    <col min="15129" max="15129" width="7.5" style="355"/>
    <col min="15130" max="15130" width="3.5" style="355" customWidth="1"/>
    <col min="15131" max="15136" width="3" style="355" customWidth="1"/>
    <col min="15137" max="15137" width="8.5" style="355" customWidth="1"/>
    <col min="15138" max="15351" width="7.5" style="355"/>
    <col min="15352" max="15352" width="1.75" style="355" customWidth="1"/>
    <col min="15353" max="15353" width="8.5" style="355" customWidth="1"/>
    <col min="15354" max="15354" width="3.125" style="355" customWidth="1"/>
    <col min="15355" max="15355" width="4" style="355" customWidth="1"/>
    <col min="15356" max="15356" width="3.125" style="355" customWidth="1"/>
    <col min="15357" max="15357" width="4" style="355" customWidth="1"/>
    <col min="15358" max="15358" width="3.125" style="355" customWidth="1"/>
    <col min="15359" max="15359" width="4" style="355" customWidth="1"/>
    <col min="15360" max="15360" width="3.125" style="355" customWidth="1"/>
    <col min="15361" max="15361" width="4" style="355" customWidth="1"/>
    <col min="15362" max="15362" width="3.125" style="355" customWidth="1"/>
    <col min="15363" max="15363" width="4" style="355" customWidth="1"/>
    <col min="15364" max="15364" width="3.125" style="355" customWidth="1"/>
    <col min="15365" max="15365" width="4" style="355" customWidth="1"/>
    <col min="15366" max="15367" width="3.375" style="355" customWidth="1"/>
    <col min="15368" max="15368" width="2.875" style="355" customWidth="1"/>
    <col min="15369" max="15369" width="8.375" style="355" customWidth="1"/>
    <col min="15370" max="15370" width="3.125" style="355" customWidth="1"/>
    <col min="15371" max="15371" width="4" style="355" customWidth="1"/>
    <col min="15372" max="15372" width="3.125" style="355" customWidth="1"/>
    <col min="15373" max="15373" width="4" style="355" customWidth="1"/>
    <col min="15374" max="15374" width="3.125" style="355" customWidth="1"/>
    <col min="15375" max="15375" width="4" style="355" customWidth="1"/>
    <col min="15376" max="15376" width="3.125" style="355" customWidth="1"/>
    <col min="15377" max="15377" width="4" style="355" customWidth="1"/>
    <col min="15378" max="15378" width="3.125" style="355" customWidth="1"/>
    <col min="15379" max="15379" width="4" style="355" customWidth="1"/>
    <col min="15380" max="15380" width="3.125" style="355" customWidth="1"/>
    <col min="15381" max="15381" width="4" style="355" customWidth="1"/>
    <col min="15382" max="15383" width="3.375" style="355" customWidth="1"/>
    <col min="15384" max="15384" width="1.125" style="355" customWidth="1"/>
    <col min="15385" max="15385" width="7.5" style="355"/>
    <col min="15386" max="15386" width="3.5" style="355" customWidth="1"/>
    <col min="15387" max="15392" width="3" style="355" customWidth="1"/>
    <col min="15393" max="15393" width="8.5" style="355" customWidth="1"/>
    <col min="15394" max="15607" width="7.5" style="355"/>
    <col min="15608" max="15608" width="1.75" style="355" customWidth="1"/>
    <col min="15609" max="15609" width="8.5" style="355" customWidth="1"/>
    <col min="15610" max="15610" width="3.125" style="355" customWidth="1"/>
    <col min="15611" max="15611" width="4" style="355" customWidth="1"/>
    <col min="15612" max="15612" width="3.125" style="355" customWidth="1"/>
    <col min="15613" max="15613" width="4" style="355" customWidth="1"/>
    <col min="15614" max="15614" width="3.125" style="355" customWidth="1"/>
    <col min="15615" max="15615" width="4" style="355" customWidth="1"/>
    <col min="15616" max="15616" width="3.125" style="355" customWidth="1"/>
    <col min="15617" max="15617" width="4" style="355" customWidth="1"/>
    <col min="15618" max="15618" width="3.125" style="355" customWidth="1"/>
    <col min="15619" max="15619" width="4" style="355" customWidth="1"/>
    <col min="15620" max="15620" width="3.125" style="355" customWidth="1"/>
    <col min="15621" max="15621" width="4" style="355" customWidth="1"/>
    <col min="15622" max="15623" width="3.375" style="355" customWidth="1"/>
    <col min="15624" max="15624" width="2.875" style="355" customWidth="1"/>
    <col min="15625" max="15625" width="8.375" style="355" customWidth="1"/>
    <col min="15626" max="15626" width="3.125" style="355" customWidth="1"/>
    <col min="15627" max="15627" width="4" style="355" customWidth="1"/>
    <col min="15628" max="15628" width="3.125" style="355" customWidth="1"/>
    <col min="15629" max="15629" width="4" style="355" customWidth="1"/>
    <col min="15630" max="15630" width="3.125" style="355" customWidth="1"/>
    <col min="15631" max="15631" width="4" style="355" customWidth="1"/>
    <col min="15632" max="15632" width="3.125" style="355" customWidth="1"/>
    <col min="15633" max="15633" width="4" style="355" customWidth="1"/>
    <col min="15634" max="15634" width="3.125" style="355" customWidth="1"/>
    <col min="15635" max="15635" width="4" style="355" customWidth="1"/>
    <col min="15636" max="15636" width="3.125" style="355" customWidth="1"/>
    <col min="15637" max="15637" width="4" style="355" customWidth="1"/>
    <col min="15638" max="15639" width="3.375" style="355" customWidth="1"/>
    <col min="15640" max="15640" width="1.125" style="355" customWidth="1"/>
    <col min="15641" max="15641" width="7.5" style="355"/>
    <col min="15642" max="15642" width="3.5" style="355" customWidth="1"/>
    <col min="15643" max="15648" width="3" style="355" customWidth="1"/>
    <col min="15649" max="15649" width="8.5" style="355" customWidth="1"/>
    <col min="15650" max="15863" width="7.5" style="355"/>
    <col min="15864" max="15864" width="1.75" style="355" customWidth="1"/>
    <col min="15865" max="15865" width="8.5" style="355" customWidth="1"/>
    <col min="15866" max="15866" width="3.125" style="355" customWidth="1"/>
    <col min="15867" max="15867" width="4" style="355" customWidth="1"/>
    <col min="15868" max="15868" width="3.125" style="355" customWidth="1"/>
    <col min="15869" max="15869" width="4" style="355" customWidth="1"/>
    <col min="15870" max="15870" width="3.125" style="355" customWidth="1"/>
    <col min="15871" max="15871" width="4" style="355" customWidth="1"/>
    <col min="15872" max="15872" width="3.125" style="355" customWidth="1"/>
    <col min="15873" max="15873" width="4" style="355" customWidth="1"/>
    <col min="15874" max="15874" width="3.125" style="355" customWidth="1"/>
    <col min="15875" max="15875" width="4" style="355" customWidth="1"/>
    <col min="15876" max="15876" width="3.125" style="355" customWidth="1"/>
    <col min="15877" max="15877" width="4" style="355" customWidth="1"/>
    <col min="15878" max="15879" width="3.375" style="355" customWidth="1"/>
    <col min="15880" max="15880" width="2.875" style="355" customWidth="1"/>
    <col min="15881" max="15881" width="8.375" style="355" customWidth="1"/>
    <col min="15882" max="15882" width="3.125" style="355" customWidth="1"/>
    <col min="15883" max="15883" width="4" style="355" customWidth="1"/>
    <col min="15884" max="15884" width="3.125" style="355" customWidth="1"/>
    <col min="15885" max="15885" width="4" style="355" customWidth="1"/>
    <col min="15886" max="15886" width="3.125" style="355" customWidth="1"/>
    <col min="15887" max="15887" width="4" style="355" customWidth="1"/>
    <col min="15888" max="15888" width="3.125" style="355" customWidth="1"/>
    <col min="15889" max="15889" width="4" style="355" customWidth="1"/>
    <col min="15890" max="15890" width="3.125" style="355" customWidth="1"/>
    <col min="15891" max="15891" width="4" style="355" customWidth="1"/>
    <col min="15892" max="15892" width="3.125" style="355" customWidth="1"/>
    <col min="15893" max="15893" width="4" style="355" customWidth="1"/>
    <col min="15894" max="15895" width="3.375" style="355" customWidth="1"/>
    <col min="15896" max="15896" width="1.125" style="355" customWidth="1"/>
    <col min="15897" max="15897" width="7.5" style="355"/>
    <col min="15898" max="15898" width="3.5" style="355" customWidth="1"/>
    <col min="15899" max="15904" width="3" style="355" customWidth="1"/>
    <col min="15905" max="15905" width="8.5" style="355" customWidth="1"/>
    <col min="15906" max="16119" width="7.5" style="355"/>
    <col min="16120" max="16120" width="1.75" style="355" customWidth="1"/>
    <col min="16121" max="16121" width="8.5" style="355" customWidth="1"/>
    <col min="16122" max="16122" width="3.125" style="355" customWidth="1"/>
    <col min="16123" max="16123" width="4" style="355" customWidth="1"/>
    <col min="16124" max="16124" width="3.125" style="355" customWidth="1"/>
    <col min="16125" max="16125" width="4" style="355" customWidth="1"/>
    <col min="16126" max="16126" width="3.125" style="355" customWidth="1"/>
    <col min="16127" max="16127" width="4" style="355" customWidth="1"/>
    <col min="16128" max="16128" width="3.125" style="355" customWidth="1"/>
    <col min="16129" max="16129" width="4" style="355" customWidth="1"/>
    <col min="16130" max="16130" width="3.125" style="355" customWidth="1"/>
    <col min="16131" max="16131" width="4" style="355" customWidth="1"/>
    <col min="16132" max="16132" width="3.125" style="355" customWidth="1"/>
    <col min="16133" max="16133" width="4" style="355" customWidth="1"/>
    <col min="16134" max="16135" width="3.375" style="355" customWidth="1"/>
    <col min="16136" max="16136" width="2.875" style="355" customWidth="1"/>
    <col min="16137" max="16137" width="8.375" style="355" customWidth="1"/>
    <col min="16138" max="16138" width="3.125" style="355" customWidth="1"/>
    <col min="16139" max="16139" width="4" style="355" customWidth="1"/>
    <col min="16140" max="16140" width="3.125" style="355" customWidth="1"/>
    <col min="16141" max="16141" width="4" style="355" customWidth="1"/>
    <col min="16142" max="16142" width="3.125" style="355" customWidth="1"/>
    <col min="16143" max="16143" width="4" style="355" customWidth="1"/>
    <col min="16144" max="16144" width="3.125" style="355" customWidth="1"/>
    <col min="16145" max="16145" width="4" style="355" customWidth="1"/>
    <col min="16146" max="16146" width="3.125" style="355" customWidth="1"/>
    <col min="16147" max="16147" width="4" style="355" customWidth="1"/>
    <col min="16148" max="16148" width="3.125" style="355" customWidth="1"/>
    <col min="16149" max="16149" width="4" style="355" customWidth="1"/>
    <col min="16150" max="16151" width="3.375" style="355" customWidth="1"/>
    <col min="16152" max="16152" width="1.125" style="355" customWidth="1"/>
    <col min="16153" max="16153" width="7.5" style="355"/>
    <col min="16154" max="16154" width="3.5" style="355" customWidth="1"/>
    <col min="16155" max="16160" width="3" style="355" customWidth="1"/>
    <col min="16161" max="16161" width="8.5" style="355" customWidth="1"/>
    <col min="16162" max="16384" width="7.5" style="355"/>
  </cols>
  <sheetData>
    <row r="1" spans="1:52" ht="23.25" x14ac:dyDescent="0.25">
      <c r="B1" s="393" t="s">
        <v>680</v>
      </c>
      <c r="C1" s="1336"/>
      <c r="D1" s="1336"/>
      <c r="E1" s="1336"/>
      <c r="F1" s="1336"/>
      <c r="G1" s="1336"/>
      <c r="H1" s="1336"/>
      <c r="I1" s="1336"/>
      <c r="J1" s="1336"/>
      <c r="K1" s="1336"/>
      <c r="L1" s="1336"/>
      <c r="M1" s="1336"/>
      <c r="N1" s="1336"/>
      <c r="O1" s="1336"/>
      <c r="P1" s="1336"/>
      <c r="Q1" s="1337"/>
      <c r="R1" s="1336"/>
      <c r="S1" s="1336"/>
      <c r="T1" s="1336"/>
      <c r="U1" s="1336"/>
      <c r="V1" s="1336"/>
      <c r="W1" s="1336"/>
      <c r="X1" s="1336"/>
      <c r="Y1" s="1336"/>
      <c r="Z1" s="1336"/>
      <c r="AA1" s="1336"/>
      <c r="AB1" s="1336"/>
      <c r="AC1" s="1336"/>
      <c r="AD1" s="1336"/>
      <c r="AE1" s="1336"/>
      <c r="AF1" s="1337"/>
      <c r="AG1" s="386"/>
      <c r="AH1" s="616" t="s">
        <v>879</v>
      </c>
      <c r="AI1" s="386"/>
      <c r="AJ1" s="386"/>
      <c r="AK1" s="386"/>
      <c r="AL1" s="386"/>
      <c r="AM1" s="386"/>
      <c r="AN1" s="386"/>
      <c r="AO1" s="386"/>
      <c r="AP1" s="386"/>
      <c r="AQ1" s="386"/>
      <c r="AR1" s="386"/>
      <c r="AS1" s="386"/>
      <c r="AT1" s="386"/>
      <c r="AU1" s="386"/>
      <c r="AV1" s="386"/>
      <c r="AW1" s="386"/>
      <c r="AX1" s="386"/>
    </row>
    <row r="2" spans="1:52" ht="9.75" customHeight="1" x14ac:dyDescent="0.25">
      <c r="B2" s="1338" t="s">
        <v>503</v>
      </c>
      <c r="C2" s="1650"/>
      <c r="D2" s="1650"/>
      <c r="E2" s="1650"/>
      <c r="F2" s="1650"/>
      <c r="G2" s="1650"/>
      <c r="H2" s="1650"/>
      <c r="I2" s="1650"/>
      <c r="J2" s="1650"/>
      <c r="K2" s="1650"/>
      <c r="L2" s="1650"/>
      <c r="M2" s="1650"/>
      <c r="N2" s="1650"/>
      <c r="O2" s="1650"/>
      <c r="P2" s="1650"/>
      <c r="Q2" s="1651"/>
      <c r="R2" s="1339" t="s">
        <v>504</v>
      </c>
      <c r="S2" s="1340"/>
      <c r="T2" s="1340"/>
      <c r="U2" s="1650"/>
      <c r="V2" s="1650"/>
      <c r="W2" s="1650"/>
      <c r="X2" s="1650"/>
      <c r="Y2" s="1650"/>
      <c r="Z2" s="1650"/>
      <c r="AA2" s="1650"/>
      <c r="AB2" s="1650"/>
      <c r="AC2" s="1650"/>
      <c r="AD2" s="1650"/>
      <c r="AE2" s="1650"/>
      <c r="AF2" s="1654"/>
      <c r="AG2" s="386"/>
      <c r="AH2" s="386"/>
      <c r="AI2" s="477"/>
      <c r="AJ2" s="477"/>
      <c r="AK2" s="477"/>
      <c r="AL2" s="477"/>
      <c r="AM2" s="477"/>
      <c r="AN2" s="477"/>
      <c r="AO2" s="477"/>
      <c r="AP2" s="386"/>
      <c r="AQ2" s="386"/>
      <c r="AR2" s="386"/>
      <c r="AS2" s="386"/>
      <c r="AT2" s="386"/>
      <c r="AU2" s="386"/>
      <c r="AV2" s="386"/>
      <c r="AW2" s="386"/>
      <c r="AX2" s="386"/>
    </row>
    <row r="3" spans="1:52" ht="9.75" customHeight="1" x14ac:dyDescent="0.25">
      <c r="B3" s="1341"/>
      <c r="C3" s="1652"/>
      <c r="D3" s="1652"/>
      <c r="E3" s="1652"/>
      <c r="F3" s="1652"/>
      <c r="G3" s="1652"/>
      <c r="H3" s="1652"/>
      <c r="I3" s="1652"/>
      <c r="J3" s="1652"/>
      <c r="K3" s="1652"/>
      <c r="L3" s="1652"/>
      <c r="M3" s="1652"/>
      <c r="N3" s="1652"/>
      <c r="O3" s="1652"/>
      <c r="P3" s="1652"/>
      <c r="Q3" s="1653"/>
      <c r="R3" s="395" t="s">
        <v>505</v>
      </c>
      <c r="S3" s="1342"/>
      <c r="T3" s="1342"/>
      <c r="U3" s="1652"/>
      <c r="V3" s="1652"/>
      <c r="W3" s="1652"/>
      <c r="X3" s="1652"/>
      <c r="Y3" s="1652"/>
      <c r="Z3" s="1652"/>
      <c r="AA3" s="1652"/>
      <c r="AB3" s="1652"/>
      <c r="AC3" s="1652"/>
      <c r="AD3" s="1652"/>
      <c r="AE3" s="1652"/>
      <c r="AF3" s="1655"/>
      <c r="AG3" s="386"/>
      <c r="AH3" s="1659" t="s">
        <v>772</v>
      </c>
      <c r="AI3" s="1659"/>
      <c r="AJ3" s="1659"/>
      <c r="AK3" s="1659"/>
      <c r="AL3" s="1659"/>
      <c r="AM3" s="1659"/>
      <c r="AN3" s="1659"/>
      <c r="AO3" s="1659"/>
      <c r="AP3" s="1659"/>
      <c r="AQ3" s="1659"/>
      <c r="AR3" s="1659"/>
      <c r="AS3" s="386"/>
      <c r="AT3" s="386"/>
      <c r="AU3" s="386"/>
      <c r="AV3" s="386"/>
      <c r="AW3" s="386"/>
      <c r="AX3" s="386"/>
    </row>
    <row r="4" spans="1:52" s="371" customFormat="1" ht="9.75" customHeight="1" x14ac:dyDescent="0.25">
      <c r="A4" s="355"/>
      <c r="B4" s="1338" t="s">
        <v>506</v>
      </c>
      <c r="C4" s="1340"/>
      <c r="D4" s="1650"/>
      <c r="E4" s="1650"/>
      <c r="F4" s="1650"/>
      <c r="G4" s="1650"/>
      <c r="H4" s="1650"/>
      <c r="I4" s="1650"/>
      <c r="J4" s="1650"/>
      <c r="K4" s="1650"/>
      <c r="L4" s="1650"/>
      <c r="M4" s="1650"/>
      <c r="N4" s="1650"/>
      <c r="O4" s="1650"/>
      <c r="P4" s="1650"/>
      <c r="Q4" s="1651"/>
      <c r="R4" s="1339" t="s">
        <v>507</v>
      </c>
      <c r="S4" s="1340"/>
      <c r="T4" s="1340"/>
      <c r="U4" s="1650"/>
      <c r="V4" s="1650"/>
      <c r="W4" s="1650"/>
      <c r="X4" s="1650"/>
      <c r="Y4" s="1650"/>
      <c r="Z4" s="1650"/>
      <c r="AA4" s="1650"/>
      <c r="AB4" s="1650"/>
      <c r="AC4" s="1650"/>
      <c r="AD4" s="1650"/>
      <c r="AE4" s="1650"/>
      <c r="AF4" s="1654"/>
      <c r="AG4" s="387"/>
      <c r="AH4" s="1659"/>
      <c r="AI4" s="1659"/>
      <c r="AJ4" s="1659"/>
      <c r="AK4" s="1659"/>
      <c r="AL4" s="1659"/>
      <c r="AM4" s="1659"/>
      <c r="AN4" s="1659"/>
      <c r="AO4" s="1659"/>
      <c r="AP4" s="1659"/>
      <c r="AQ4" s="1659"/>
      <c r="AR4" s="1659"/>
      <c r="AS4" s="387"/>
      <c r="AT4" s="387"/>
      <c r="AU4" s="387"/>
      <c r="AV4" s="387"/>
      <c r="AW4" s="387"/>
      <c r="AX4" s="387"/>
      <c r="AZ4" s="394"/>
    </row>
    <row r="5" spans="1:52" s="371" customFormat="1" ht="9.75" customHeight="1" x14ac:dyDescent="0.25">
      <c r="A5" s="396"/>
      <c r="B5" s="1341"/>
      <c r="C5" s="1342"/>
      <c r="D5" s="1652"/>
      <c r="E5" s="1652"/>
      <c r="F5" s="1652"/>
      <c r="G5" s="1652"/>
      <c r="H5" s="1652"/>
      <c r="I5" s="1652"/>
      <c r="J5" s="1652"/>
      <c r="K5" s="1652"/>
      <c r="L5" s="1652"/>
      <c r="M5" s="1652"/>
      <c r="N5" s="1652"/>
      <c r="O5" s="1652"/>
      <c r="P5" s="1652"/>
      <c r="Q5" s="1653"/>
      <c r="R5" s="395" t="s">
        <v>508</v>
      </c>
      <c r="S5" s="1342"/>
      <c r="T5" s="1342"/>
      <c r="U5" s="1652"/>
      <c r="V5" s="1652"/>
      <c r="W5" s="1652"/>
      <c r="X5" s="1652"/>
      <c r="Y5" s="1652"/>
      <c r="Z5" s="1652"/>
      <c r="AA5" s="1652"/>
      <c r="AB5" s="1652"/>
      <c r="AC5" s="1652"/>
      <c r="AD5" s="1652"/>
      <c r="AE5" s="1652"/>
      <c r="AF5" s="1655"/>
      <c r="AG5" s="387"/>
      <c r="AH5" s="1659" t="s">
        <v>1060</v>
      </c>
      <c r="AI5" s="1659"/>
      <c r="AJ5" s="1659"/>
      <c r="AK5" s="1659"/>
      <c r="AL5" s="1659"/>
      <c r="AM5" s="1659"/>
      <c r="AN5" s="1659"/>
      <c r="AO5" s="1659"/>
      <c r="AP5" s="1659"/>
      <c r="AQ5" s="1659"/>
      <c r="AR5" s="1659"/>
      <c r="AS5" s="387"/>
      <c r="AT5" s="387"/>
      <c r="AU5" s="387"/>
      <c r="AV5" s="387"/>
      <c r="AW5" s="387"/>
      <c r="AX5" s="387"/>
      <c r="AZ5" s="394"/>
    </row>
    <row r="6" spans="1:52" ht="9.75" customHeight="1" x14ac:dyDescent="0.25">
      <c r="A6" s="396"/>
      <c r="B6" s="1338" t="s">
        <v>509</v>
      </c>
      <c r="C6" s="1650"/>
      <c r="D6" s="1650"/>
      <c r="E6" s="1650"/>
      <c r="F6" s="1650"/>
      <c r="G6" s="1650"/>
      <c r="H6" s="1650"/>
      <c r="I6" s="1650"/>
      <c r="J6" s="1650"/>
      <c r="K6" s="1650"/>
      <c r="L6" s="1650"/>
      <c r="M6" s="1650"/>
      <c r="N6" s="1650"/>
      <c r="O6" s="1650"/>
      <c r="P6" s="1650"/>
      <c r="Q6" s="1651"/>
      <c r="R6" s="1339" t="s">
        <v>510</v>
      </c>
      <c r="S6" s="1340"/>
      <c r="T6" s="1650"/>
      <c r="U6" s="1650"/>
      <c r="V6" s="1650"/>
      <c r="W6" s="1650"/>
      <c r="X6" s="1650"/>
      <c r="Y6" s="1650"/>
      <c r="Z6" s="1650"/>
      <c r="AA6" s="1650"/>
      <c r="AB6" s="1650"/>
      <c r="AC6" s="1650"/>
      <c r="AD6" s="1650"/>
      <c r="AE6" s="1650"/>
      <c r="AF6" s="1654"/>
      <c r="AG6" s="386"/>
      <c r="AH6" s="1659"/>
      <c r="AI6" s="1659"/>
      <c r="AJ6" s="1659"/>
      <c r="AK6" s="1659"/>
      <c r="AL6" s="1659"/>
      <c r="AM6" s="1659"/>
      <c r="AN6" s="1659"/>
      <c r="AO6" s="1659"/>
      <c r="AP6" s="1659"/>
      <c r="AQ6" s="1659"/>
      <c r="AR6" s="1659"/>
      <c r="AS6" s="386"/>
      <c r="AT6" s="386"/>
      <c r="AU6" s="386"/>
      <c r="AV6" s="386"/>
      <c r="AW6" s="386"/>
      <c r="AX6" s="386"/>
    </row>
    <row r="7" spans="1:52" ht="9.75" customHeight="1" x14ac:dyDescent="0.25">
      <c r="A7" s="396"/>
      <c r="B7" s="1343"/>
      <c r="C7" s="1656"/>
      <c r="D7" s="1656"/>
      <c r="E7" s="1656"/>
      <c r="F7" s="1656"/>
      <c r="G7" s="1656"/>
      <c r="H7" s="1656"/>
      <c r="I7" s="1656"/>
      <c r="J7" s="1656"/>
      <c r="K7" s="1656"/>
      <c r="L7" s="1656"/>
      <c r="M7" s="1656"/>
      <c r="N7" s="1656"/>
      <c r="O7" s="1656"/>
      <c r="P7" s="1656"/>
      <c r="Q7" s="1657"/>
      <c r="R7" s="397" t="s">
        <v>511</v>
      </c>
      <c r="S7" s="1344"/>
      <c r="T7" s="1656"/>
      <c r="U7" s="1656"/>
      <c r="V7" s="1656"/>
      <c r="W7" s="1656"/>
      <c r="X7" s="1656"/>
      <c r="Y7" s="1656"/>
      <c r="Z7" s="1656"/>
      <c r="AA7" s="1656"/>
      <c r="AB7" s="1656"/>
      <c r="AC7" s="1656"/>
      <c r="AD7" s="1656"/>
      <c r="AE7" s="1656"/>
      <c r="AF7" s="1658"/>
      <c r="AG7" s="386"/>
      <c r="AH7" s="721" t="s">
        <v>769</v>
      </c>
      <c r="AI7" s="387"/>
      <c r="AJ7" s="387"/>
      <c r="AK7" s="387"/>
      <c r="AL7" s="387"/>
      <c r="AM7" s="387"/>
      <c r="AN7" s="387"/>
      <c r="AO7" s="387"/>
      <c r="AP7" s="387"/>
      <c r="AQ7" s="387"/>
      <c r="AR7" s="387"/>
      <c r="AS7" s="386"/>
      <c r="AT7" s="386"/>
      <c r="AU7" s="386"/>
      <c r="AV7" s="386"/>
      <c r="AW7" s="386"/>
      <c r="AX7" s="386"/>
    </row>
    <row r="8" spans="1:52" ht="15" customHeight="1" x14ac:dyDescent="0.35">
      <c r="A8" s="396"/>
      <c r="B8" s="1345" t="s">
        <v>748</v>
      </c>
      <c r="C8" s="1346"/>
      <c r="D8" s="1346"/>
      <c r="E8" s="1346"/>
      <c r="F8" s="1346"/>
      <c r="G8" s="1346"/>
      <c r="H8" s="1346"/>
      <c r="I8" s="1346"/>
      <c r="J8" s="1346"/>
      <c r="K8" s="1346"/>
      <c r="L8" s="1346"/>
      <c r="M8" s="1347"/>
      <c r="N8" s="1347"/>
      <c r="O8" s="1347"/>
      <c r="P8" s="1347"/>
      <c r="Q8" s="1347"/>
      <c r="R8" s="1347"/>
      <c r="S8" s="1347"/>
      <c r="T8" s="1347"/>
      <c r="U8" s="1347"/>
      <c r="V8" s="1347"/>
      <c r="W8" s="1347"/>
      <c r="X8" s="1348"/>
      <c r="Y8" s="1348"/>
      <c r="Z8" s="1348"/>
      <c r="AA8" s="1348"/>
      <c r="AB8" s="1348"/>
      <c r="AC8" s="1348">
        <f>Année_Calendaire</f>
        <v>2020</v>
      </c>
      <c r="AD8" s="1348"/>
      <c r="AE8" s="1348"/>
      <c r="AF8" s="1349"/>
      <c r="AG8" s="486"/>
      <c r="AH8" s="721" t="s">
        <v>770</v>
      </c>
      <c r="AI8" s="477"/>
      <c r="AJ8" s="477"/>
      <c r="AK8" s="477"/>
      <c r="AL8" s="477"/>
      <c r="AM8" s="477"/>
      <c r="AN8" s="477"/>
      <c r="AO8" s="477"/>
      <c r="AP8" s="386"/>
      <c r="AQ8" s="386"/>
      <c r="AR8" s="386"/>
      <c r="AS8" s="386"/>
      <c r="AT8" s="386"/>
      <c r="AU8" s="386"/>
      <c r="AV8" s="386"/>
      <c r="AW8" s="386"/>
      <c r="AX8" s="386"/>
    </row>
    <row r="9" spans="1:52" ht="3.75" customHeight="1" thickBot="1" x14ac:dyDescent="0.3">
      <c r="A9" s="396"/>
      <c r="B9" s="1350"/>
      <c r="C9" s="1351"/>
      <c r="D9" s="1351"/>
      <c r="E9" s="1351"/>
      <c r="F9" s="1351"/>
      <c r="G9" s="1351"/>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2"/>
      <c r="AG9" s="386"/>
      <c r="AH9" s="386"/>
      <c r="AI9" s="477"/>
      <c r="AJ9" s="477"/>
      <c r="AK9" s="477"/>
      <c r="AL9" s="477"/>
      <c r="AM9" s="477"/>
      <c r="AN9" s="477"/>
      <c r="AO9" s="477"/>
      <c r="AP9" s="386"/>
      <c r="AQ9" s="386"/>
      <c r="AR9" s="386"/>
      <c r="AS9" s="386"/>
      <c r="AT9" s="386"/>
      <c r="AU9" s="386"/>
      <c r="AV9" s="386"/>
      <c r="AW9" s="386"/>
      <c r="AX9" s="386"/>
    </row>
    <row r="10" spans="1:52" ht="15.75" customHeight="1" thickTop="1" x14ac:dyDescent="0.25">
      <c r="A10" s="396"/>
      <c r="B10" s="1353" t="s">
        <v>771</v>
      </c>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1354"/>
      <c r="AG10" s="386"/>
      <c r="AH10" s="481" t="s">
        <v>697</v>
      </c>
      <c r="AI10" s="477"/>
      <c r="AJ10" s="477"/>
      <c r="AK10" s="477"/>
      <c r="AL10" s="477"/>
      <c r="AM10" s="477"/>
      <c r="AN10" s="477"/>
      <c r="AO10" s="477"/>
      <c r="AP10" s="386"/>
      <c r="AQ10" s="386"/>
      <c r="AR10" s="386"/>
      <c r="AS10" s="386"/>
      <c r="AT10" s="386"/>
      <c r="AU10" s="386"/>
      <c r="AV10" s="386"/>
      <c r="AW10" s="386"/>
      <c r="AX10" s="386"/>
    </row>
    <row r="11" spans="1:52" ht="3.75" customHeight="1" x14ac:dyDescent="0.25">
      <c r="B11" s="1350"/>
      <c r="C11" s="1351"/>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c r="AB11" s="1351"/>
      <c r="AC11" s="1351"/>
      <c r="AD11" s="1351"/>
      <c r="AE11" s="1351"/>
      <c r="AF11" s="1352"/>
      <c r="AG11" s="386"/>
      <c r="AH11" s="386"/>
      <c r="AI11" s="477"/>
      <c r="AJ11" s="477"/>
      <c r="AK11" s="477"/>
      <c r="AL11" s="477"/>
      <c r="AM11" s="477"/>
      <c r="AN11" s="477"/>
      <c r="AO11" s="477"/>
      <c r="AP11" s="386"/>
      <c r="AQ11" s="386"/>
      <c r="AR11" s="386"/>
      <c r="AS11" s="386"/>
      <c r="AT11" s="386"/>
      <c r="AU11" s="386"/>
      <c r="AV11" s="386"/>
      <c r="AW11" s="386"/>
      <c r="AX11" s="386"/>
    </row>
    <row r="12" spans="1:52" ht="19.5" customHeight="1" x14ac:dyDescent="0.25">
      <c r="B12" s="1637" t="s">
        <v>57</v>
      </c>
      <c r="C12" s="1638"/>
      <c r="D12" s="1355" t="s">
        <v>368</v>
      </c>
      <c r="E12" s="1356">
        <f>O19+O30+O41+O52+O63+O74+O85+AE85+AE74+AE63+AE52+AE41+AE30+AE19</f>
        <v>1</v>
      </c>
      <c r="F12" s="1357"/>
      <c r="G12" s="1358" t="s">
        <v>7</v>
      </c>
      <c r="H12" s="1359">
        <f>O20+O31+O42+O53+O64+O75+O86+AE86+AE75+AE64+AE53+AE42+AE31+AE20</f>
        <v>0</v>
      </c>
      <c r="I12" s="1351"/>
      <c r="J12" s="1360" t="s">
        <v>356</v>
      </c>
      <c r="K12" s="1361">
        <f>O23+O34+O45+O56+O67+O78+O89+AE89+AE78+AE67+AE56+AE45+AE34+AE23</f>
        <v>0</v>
      </c>
      <c r="L12" s="1362"/>
      <c r="M12" s="1363" t="s">
        <v>37</v>
      </c>
      <c r="N12" s="1364">
        <f>O18+O29+O40+O51+O62+O73+O84+AE84+AE73+AE62+AE51+AE40+AE29+AE18</f>
        <v>0</v>
      </c>
      <c r="O12" s="1365"/>
      <c r="P12" s="1366"/>
      <c r="Q12" s="1366"/>
      <c r="R12" s="1367" t="s">
        <v>684</v>
      </c>
      <c r="S12" s="1368"/>
      <c r="T12" s="1368"/>
      <c r="U12" s="1369"/>
      <c r="V12" s="1368"/>
      <c r="W12" s="1639">
        <v>2020</v>
      </c>
      <c r="X12" s="1639"/>
      <c r="Y12" s="1370"/>
      <c r="Z12" s="1371" t="s">
        <v>685</v>
      </c>
      <c r="AA12" s="1372"/>
      <c r="AB12" s="1640">
        <f>M21+AC21+M32+AC32+M43+AC43+M54+AC54+M65+AC65+M76+AC76+M87+AC87</f>
        <v>1.3680555555555556</v>
      </c>
      <c r="AC12" s="1640"/>
      <c r="AD12" s="1641" t="s">
        <v>686</v>
      </c>
      <c r="AE12" s="1641"/>
      <c r="AF12" s="1642"/>
      <c r="AG12" s="386"/>
      <c r="AH12" s="356"/>
      <c r="AI12" s="1618" t="s">
        <v>687</v>
      </c>
      <c r="AJ12" s="1618"/>
      <c r="AK12" s="1618"/>
      <c r="AL12" s="1618"/>
      <c r="AM12" s="1618"/>
      <c r="AN12" s="1618"/>
      <c r="AO12" s="1618"/>
      <c r="AP12" s="1618"/>
      <c r="AQ12" s="1618"/>
      <c r="AS12" s="386"/>
      <c r="AT12" s="386"/>
      <c r="AU12" s="386"/>
      <c r="AV12" s="386"/>
      <c r="AW12" s="386"/>
      <c r="AX12" s="386"/>
    </row>
    <row r="13" spans="1:52" s="371" customFormat="1" ht="4.5" customHeight="1" thickBot="1" x14ac:dyDescent="0.3">
      <c r="A13" s="355"/>
      <c r="B13" s="1643">
        <f ca="1">NOW()</f>
        <v>44232.80612465278</v>
      </c>
      <c r="C13" s="1644"/>
      <c r="D13" s="1373"/>
      <c r="E13" s="1374"/>
      <c r="F13" s="1374"/>
      <c r="G13" s="1373"/>
      <c r="H13" s="1375"/>
      <c r="I13" s="1375"/>
      <c r="J13" s="1373"/>
      <c r="K13" s="1373"/>
      <c r="L13" s="1373"/>
      <c r="M13" s="1373"/>
      <c r="N13" s="1373"/>
      <c r="O13" s="1373"/>
      <c r="P13" s="1373"/>
      <c r="Q13" s="1373"/>
      <c r="R13" s="474"/>
      <c r="S13" s="1373"/>
      <c r="T13" s="1376"/>
      <c r="U13" s="1376"/>
      <c r="V13" s="1376"/>
      <c r="W13" s="1376"/>
      <c r="X13" s="1376"/>
      <c r="Y13" s="475"/>
      <c r="Z13" s="476"/>
      <c r="AA13" s="1377"/>
      <c r="AB13" s="1377"/>
      <c r="AC13" s="1377"/>
      <c r="AD13" s="1377"/>
      <c r="AE13" s="1377"/>
      <c r="AF13" s="1378"/>
      <c r="AG13" s="386"/>
      <c r="AH13" s="386"/>
      <c r="AI13" s="477"/>
      <c r="AJ13" s="477"/>
      <c r="AK13" s="477"/>
      <c r="AL13" s="477"/>
      <c r="AM13" s="477"/>
      <c r="AN13" s="477"/>
      <c r="AO13" s="477"/>
      <c r="AP13" s="386"/>
      <c r="AQ13" s="386"/>
      <c r="AR13" s="386"/>
      <c r="AS13" s="387"/>
      <c r="AT13" s="387"/>
      <c r="AU13" s="387"/>
      <c r="AV13" s="387"/>
      <c r="AW13" s="387"/>
      <c r="AX13" s="387"/>
      <c r="AZ13" s="394"/>
    </row>
    <row r="14" spans="1:52" s="371" customFormat="1" ht="15" customHeight="1" thickTop="1" thickBot="1" x14ac:dyDescent="0.3">
      <c r="A14" s="396"/>
      <c r="B14" s="1645"/>
      <c r="C14" s="1646"/>
      <c r="D14" s="1379" t="s">
        <v>373</v>
      </c>
      <c r="E14" s="1380">
        <f>O21+O32+O43+O54+O76+O87+AE87+AE76+AE65+AE54+AE43+AE32+AE21</f>
        <v>0</v>
      </c>
      <c r="F14" s="1357"/>
      <c r="G14" s="1381" t="s">
        <v>8</v>
      </c>
      <c r="H14" s="1382">
        <f>O22+O33+O44+O55+O66+O77+O88+AE88+AE77+AE66+AE55+AE44+AE33+AE22</f>
        <v>0</v>
      </c>
      <c r="I14" s="1383"/>
      <c r="J14" s="1384" t="s">
        <v>358</v>
      </c>
      <c r="K14" s="1385">
        <f>O24+O35+O46+O57+O68+O79+O90+AE90+AE79+AE68+AE57+AE46+AE35+AE24</f>
        <v>0</v>
      </c>
      <c r="L14" s="1606" t="s">
        <v>688</v>
      </c>
      <c r="M14" s="1607"/>
      <c r="N14" s="1607"/>
      <c r="O14" s="1607"/>
      <c r="P14" s="1607"/>
      <c r="Q14" s="1608"/>
      <c r="R14" s="1386" t="s">
        <v>583</v>
      </c>
      <c r="S14" s="1647"/>
      <c r="T14" s="1647"/>
      <c r="U14" s="1647"/>
      <c r="V14" s="1387" t="s">
        <v>584</v>
      </c>
      <c r="W14" s="1647"/>
      <c r="X14" s="1647"/>
      <c r="Y14" s="1648"/>
      <c r="Z14" s="1624">
        <f>M22+AC22+M33+AC33+M44+AC44+M55+AC55+M66+AC66+M77+AC77+M88+AC88</f>
        <v>5</v>
      </c>
      <c r="AA14" s="1649"/>
      <c r="AB14" s="1388" t="s">
        <v>387</v>
      </c>
      <c r="AC14" s="1389"/>
      <c r="AD14" s="1660">
        <f>IF(AB12=0,0,AB12/Z14)</f>
        <v>0.27361111111111114</v>
      </c>
      <c r="AE14" s="1660"/>
      <c r="AF14" s="1661"/>
      <c r="AG14" s="387"/>
      <c r="AH14" s="387"/>
      <c r="AI14" s="478" t="s">
        <v>689</v>
      </c>
      <c r="AJ14" s="477"/>
      <c r="AK14" s="477"/>
      <c r="AL14" s="477"/>
      <c r="AM14" s="477"/>
      <c r="AN14" s="477"/>
      <c r="AO14" s="477"/>
      <c r="AP14" s="386"/>
      <c r="AQ14" s="387"/>
      <c r="AR14" s="387"/>
      <c r="AS14" s="387"/>
      <c r="AT14" s="387"/>
      <c r="AU14" s="387"/>
      <c r="AV14" s="387"/>
      <c r="AW14" s="387"/>
      <c r="AX14" s="387"/>
      <c r="AZ14" s="394"/>
    </row>
    <row r="15" spans="1:52" ht="5.25" customHeight="1" thickTop="1" x14ac:dyDescent="0.25">
      <c r="A15" s="396"/>
      <c r="B15" s="1390"/>
      <c r="C15" s="1373"/>
      <c r="D15" s="1373"/>
      <c r="E15" s="1373"/>
      <c r="F15" s="1373"/>
      <c r="G15" s="1373"/>
      <c r="H15" s="1373"/>
      <c r="I15" s="1373"/>
      <c r="J15" s="1373"/>
      <c r="K15" s="1373"/>
      <c r="L15" s="1373"/>
      <c r="M15" s="1373"/>
      <c r="N15" s="1373"/>
      <c r="O15" s="1373"/>
      <c r="P15" s="1373"/>
      <c r="Q15" s="1373"/>
      <c r="R15" s="1373"/>
      <c r="S15" s="1373"/>
      <c r="T15" s="1373"/>
      <c r="U15" s="1373"/>
      <c r="V15" s="1373"/>
      <c r="W15" s="1373"/>
      <c r="X15" s="1373"/>
      <c r="Y15" s="1373"/>
      <c r="Z15" s="1373"/>
      <c r="AA15" s="1373"/>
      <c r="AB15" s="1373"/>
      <c r="AC15" s="1373"/>
      <c r="AD15" s="1373"/>
      <c r="AE15" s="1373"/>
      <c r="AF15" s="1391"/>
      <c r="AG15" s="387"/>
      <c r="AH15" s="387"/>
      <c r="AI15" s="387"/>
      <c r="AJ15" s="387"/>
      <c r="AK15" s="387"/>
      <c r="AL15" s="387"/>
      <c r="AM15" s="387"/>
      <c r="AN15" s="387"/>
      <c r="AO15" s="387"/>
      <c r="AP15" s="387"/>
      <c r="AQ15" s="387"/>
      <c r="AR15" s="387"/>
      <c r="AS15" s="386"/>
      <c r="AT15" s="386"/>
      <c r="AU15" s="386"/>
      <c r="AV15" s="386"/>
      <c r="AW15" s="386"/>
      <c r="AX15" s="386"/>
    </row>
    <row r="16" spans="1:52" ht="15" customHeight="1" x14ac:dyDescent="0.25">
      <c r="A16" s="396"/>
      <c r="B16" s="1662">
        <f>AI16</f>
        <v>43800</v>
      </c>
      <c r="C16" s="1663"/>
      <c r="D16" s="1663"/>
      <c r="E16" s="1392"/>
      <c r="F16" s="1366"/>
      <c r="G16" s="1366"/>
      <c r="H16" s="1366"/>
      <c r="I16" s="1366"/>
      <c r="J16" s="1366"/>
      <c r="K16" s="1366"/>
      <c r="L16" s="1366"/>
      <c r="M16" s="1664">
        <f>Année_Calendaire-1</f>
        <v>2019</v>
      </c>
      <c r="N16" s="1664"/>
      <c r="O16" s="1366"/>
      <c r="P16" s="1366"/>
      <c r="Q16" s="1366"/>
      <c r="R16" s="1615">
        <f>S24</f>
        <v>43835</v>
      </c>
      <c r="S16" s="1616"/>
      <c r="T16" s="1616"/>
      <c r="U16" s="1366"/>
      <c r="V16" s="1366"/>
      <c r="W16" s="1366"/>
      <c r="X16" s="1366"/>
      <c r="Y16" s="1366"/>
      <c r="Z16" s="1366"/>
      <c r="AA16" s="1366"/>
      <c r="AB16" s="1366"/>
      <c r="AC16" s="1366"/>
      <c r="AD16" s="1366"/>
      <c r="AE16" s="1366"/>
      <c r="AF16" s="1393"/>
      <c r="AG16" s="386"/>
      <c r="AH16" s="386"/>
      <c r="AI16" s="1634">
        <f>DATE(AP19,AP21,1)</f>
        <v>43800</v>
      </c>
      <c r="AJ16" s="1635"/>
      <c r="AK16" s="1635"/>
      <c r="AL16" s="1635"/>
      <c r="AM16" s="1635"/>
      <c r="AN16" s="1635"/>
      <c r="AO16" s="1635"/>
      <c r="AP16" s="479" t="s">
        <v>690</v>
      </c>
      <c r="AQ16" s="386"/>
      <c r="AR16" s="386"/>
      <c r="AS16" s="386"/>
      <c r="AT16" s="386"/>
      <c r="AU16" s="386"/>
      <c r="AV16" s="386"/>
      <c r="AW16" s="386"/>
      <c r="AX16" s="386"/>
    </row>
    <row r="17" spans="1:52" ht="7.5" customHeight="1" x14ac:dyDescent="0.25">
      <c r="A17" s="396"/>
      <c r="B17" s="1394"/>
      <c r="C17" s="1395" t="s">
        <v>691</v>
      </c>
      <c r="D17" s="1396"/>
      <c r="E17" s="1397">
        <f>COUNTIF(D18:D24,"&gt;0")</f>
        <v>0</v>
      </c>
      <c r="F17" s="1398"/>
      <c r="G17" s="1399">
        <f>COUNTIF(F18:F24,"&gt;0")</f>
        <v>4</v>
      </c>
      <c r="H17" s="1398"/>
      <c r="I17" s="1399">
        <f>COUNTIF(H18:H24,"&gt;0")</f>
        <v>0</v>
      </c>
      <c r="J17" s="1398"/>
      <c r="K17" s="1399">
        <f>COUNTIF(J18:J24,"&gt;0")</f>
        <v>0</v>
      </c>
      <c r="L17" s="1398"/>
      <c r="M17" s="1399">
        <f>COUNTIF(L18:L24,"&gt;0")</f>
        <v>0</v>
      </c>
      <c r="N17" s="1399">
        <f>COUNTIF(N18:N19,"&gt;0")</f>
        <v>0</v>
      </c>
      <c r="O17" s="1400"/>
      <c r="P17" s="1401"/>
      <c r="Q17" s="1366"/>
      <c r="R17" s="1402" t="s">
        <v>691</v>
      </c>
      <c r="S17" s="1403"/>
      <c r="T17" s="1399">
        <f>COUNTIF(T18:T24,"&gt;0")</f>
        <v>0</v>
      </c>
      <c r="U17" s="1398"/>
      <c r="V17" s="1399">
        <f>COUNTIF(V18:V24,"&gt;0")</f>
        <v>0</v>
      </c>
      <c r="W17" s="1398"/>
      <c r="X17" s="1399">
        <f>COUNTIF(X18:X24,"&gt;0")</f>
        <v>0</v>
      </c>
      <c r="Y17" s="1398"/>
      <c r="Z17" s="1399">
        <f>COUNTIF(Z18:Z24,"&gt;0")</f>
        <v>0</v>
      </c>
      <c r="AA17" s="1398"/>
      <c r="AB17" s="1399">
        <f>COUNTIF(AB18:AB24,"&gt;0")</f>
        <v>0</v>
      </c>
      <c r="AC17" s="1398"/>
      <c r="AD17" s="1399">
        <f>COUNTIF(AD18:AD19,"&gt;0")</f>
        <v>0</v>
      </c>
      <c r="AE17" s="1404"/>
      <c r="AF17" s="1405"/>
      <c r="AG17" s="386"/>
      <c r="AH17" s="386"/>
      <c r="AQ17" s="386"/>
      <c r="AR17" s="386"/>
      <c r="AS17" s="386"/>
      <c r="AT17" s="386"/>
      <c r="AU17" s="386"/>
      <c r="AV17" s="386"/>
      <c r="AW17" s="386"/>
      <c r="AX17" s="386"/>
    </row>
    <row r="18" spans="1:52" ht="13.5" customHeight="1" x14ac:dyDescent="0.25">
      <c r="A18" s="396"/>
      <c r="B18" s="1406" t="s">
        <v>567</v>
      </c>
      <c r="C18" s="1407" t="str">
        <f>AI19</f>
        <v/>
      </c>
      <c r="D18" s="1728"/>
      <c r="E18" s="1408">
        <f>AI20</f>
        <v>43801</v>
      </c>
      <c r="F18" s="1728">
        <v>0.3125</v>
      </c>
      <c r="G18" s="1409">
        <f>AI21</f>
        <v>43808</v>
      </c>
      <c r="H18" s="1728"/>
      <c r="I18" s="1409">
        <f>AI22</f>
        <v>43815</v>
      </c>
      <c r="J18" s="1728"/>
      <c r="K18" s="1409">
        <f>AI23</f>
        <v>43822</v>
      </c>
      <c r="L18" s="1728"/>
      <c r="M18" s="1409">
        <f>AI24</f>
        <v>43829</v>
      </c>
      <c r="N18" s="1728"/>
      <c r="O18" s="1410">
        <f>COUNTIF(C18:N24,P18)</f>
        <v>0</v>
      </c>
      <c r="P18" s="1411" t="s">
        <v>37</v>
      </c>
      <c r="Q18" s="1366"/>
      <c r="R18" s="1412" t="s">
        <v>567</v>
      </c>
      <c r="S18" s="1407" t="str">
        <f>IF(DAY(Jan_Dim1)=1,"",IF(AND(YEAR(Jan_Dim1+1)=Année_Calendaire,MONTH(Jan_Dim1+1)=1),Jan_Dim1+1,""))</f>
        <v/>
      </c>
      <c r="T18" s="1728"/>
      <c r="U18" s="1408">
        <f>IF(DAY(Jan_Dim1)=1,IF(AND(YEAR(Jan_Dim1+1)=Année_Calendaire,MONTH(Jan_Dim1+1)=1),Jan_Dim1+1,""),IF(AND(YEAR(Jan_Dim1+8)=Année_Calendaire,MONTH(Jan_Dim1+8)=1),Jan_Dim1+8,""))</f>
        <v>43836</v>
      </c>
      <c r="V18" s="1728"/>
      <c r="W18" s="1409">
        <f>IF(DAY(Jan_Dim1)=1,IF(AND(YEAR(Jan_Dim1+8)=Année_Calendaire,MONTH(Jan_Dim1+8)=1),Jan_Dim1+8,""),IF(AND(YEAR(Jan_Dim1+15)=Année_Calendaire,MONTH(Jan_Dim1+15)=1),Jan_Dim1+15,""))</f>
        <v>43843</v>
      </c>
      <c r="X18" s="1728"/>
      <c r="Y18" s="1409">
        <f>IF(DAY(Jan_Dim1)=1,IF(AND(YEAR(Jan_Dim1+15)=Année_Calendaire,MONTH(Jan_Dim1+15)=1),Jan_Dim1+15,""),IF(AND(YEAR(Jan_Dim1+22)=Année_Calendaire,MONTH(Jan_Dim1+22)=1),Jan_Dim1+22,""))</f>
        <v>43850</v>
      </c>
      <c r="Z18" s="1728"/>
      <c r="AA18" s="1409">
        <f>IF(DAY(Jan_Dim1)=1,IF(AND(YEAR(Jan_Dim1+22)=Année_Calendaire,MONTH(Jan_Dim1+22)=1),Jan_Dim1+22,""),IF(AND(YEAR(Jan_Dim1+29)=Année_Calendaire,MONTH(Jan_Dim1+29)=1),Jan_Dim1+29,""))</f>
        <v>43857</v>
      </c>
      <c r="AB18" s="1728"/>
      <c r="AC18" s="1409" t="str">
        <f>IF(DAY(Jan_Dim1)=1,IF(AND(YEAR(Jan_Dim1+29)=Année_Calendaire,MONTH(Jan_Dim1+29)=1),Jan_Dim1+29,""),IF(AND(YEAR(Jan_Dim1+36)=Année_Calendaire,MONTH(Jan_Dim1+36)=1),Jan_Dim1+36,""))</f>
        <v/>
      </c>
      <c r="AD18" s="1728"/>
      <c r="AE18" s="1410">
        <f>COUNTIF(S18:AD24,AF18)</f>
        <v>0</v>
      </c>
      <c r="AF18" s="1413" t="s">
        <v>37</v>
      </c>
      <c r="AG18" s="386"/>
      <c r="AH18" s="386"/>
      <c r="AI18" s="425" t="str">
        <f>INDEX({"Dim","Lun","Mar","Mer","Jeu","Ven","Sam"},1+MOD(AP23+1-2,7))</f>
        <v>Lun</v>
      </c>
      <c r="AJ18" s="425" t="str">
        <f>INDEX({"Dim","Lun","Mar","Mer","Jeu","Ven","Sam"},1+MOD(AP23+2-2,7))</f>
        <v>Mar</v>
      </c>
      <c r="AK18" s="425" t="str">
        <f>INDEX({"Dim","Lun","Mar","Mer","Jeu","Ven","Sam"},1+MOD(AP23+3-2,7))</f>
        <v>Mer</v>
      </c>
      <c r="AL18" s="425" t="str">
        <f>INDEX({"Dim","Lun","Mar","Mer","Jeu","Ven","Sam"},1+MOD(AP23+4-2,7))</f>
        <v>Jeu</v>
      </c>
      <c r="AM18" s="425" t="str">
        <f>INDEX({"Dim","Lun","Mar","Mer","Jeu","Ven","Sam"},1+MOD(AP23+5-2,7))</f>
        <v>Ven</v>
      </c>
      <c r="AN18" s="425" t="str">
        <f>INDEX({"Dim","Lun","Mar","Mer","Jeu","Ven","Sam"},1+MOD(AP23+6-2,7))</f>
        <v>Sam</v>
      </c>
      <c r="AO18" s="425" t="str">
        <f>INDEX({"Dim","Lun","Mar","Mer","Jeu","Ven","Sam"},1+MOD(AP23+7-2,7))</f>
        <v>Dim</v>
      </c>
      <c r="AP18" s="426" t="s">
        <v>692</v>
      </c>
      <c r="AQ18" s="386"/>
      <c r="AR18" s="386"/>
      <c r="AS18" s="386"/>
      <c r="AT18" s="386"/>
      <c r="AU18" s="386"/>
      <c r="AV18" s="386"/>
      <c r="AW18" s="386"/>
      <c r="AX18" s="386"/>
    </row>
    <row r="19" spans="1:52" ht="13.5" customHeight="1" x14ac:dyDescent="0.25">
      <c r="A19" s="396"/>
      <c r="B19" s="1414" t="s">
        <v>568</v>
      </c>
      <c r="C19" s="1415" t="str">
        <f>AJ19</f>
        <v/>
      </c>
      <c r="D19" s="1728"/>
      <c r="E19" s="428">
        <f>AJ20</f>
        <v>43802</v>
      </c>
      <c r="F19" s="1728">
        <v>0.30555555555555552</v>
      </c>
      <c r="G19" s="428">
        <f>AJ21</f>
        <v>43809</v>
      </c>
      <c r="H19" s="1728"/>
      <c r="I19" s="428">
        <f>AJ22</f>
        <v>43816</v>
      </c>
      <c r="J19" s="1728"/>
      <c r="K19" s="428">
        <f>AJ23</f>
        <v>43823</v>
      </c>
      <c r="L19" s="1728"/>
      <c r="M19" s="429">
        <f>AJ24</f>
        <v>43830</v>
      </c>
      <c r="N19" s="1728"/>
      <c r="O19" s="458">
        <f>COUNTIF(C18:N24,P19)</f>
        <v>1</v>
      </c>
      <c r="P19" s="459" t="s">
        <v>368</v>
      </c>
      <c r="Q19" s="1366"/>
      <c r="R19" s="427" t="s">
        <v>568</v>
      </c>
      <c r="S19" s="1415" t="str">
        <f>IF(DAY(Jan_Dim1)=1,"",IF(AND(YEAR(Jan_Dim1+2)=Année_Calendaire,MONTH(Jan_Dim1+2)=1),Jan_Dim1+2,""))</f>
        <v/>
      </c>
      <c r="T19" s="1728"/>
      <c r="U19" s="428">
        <f>IF(DAY(Jan_Dim1)=1,IF(AND(YEAR(Jan_Dim1+2)=Année_Calendaire,MONTH(Jan_Dim1+2)=1),Jan_Dim1+2,""),IF(AND(YEAR(Jan_Dim1+9)=Année_Calendaire,MONTH(Jan_Dim1+9)=1),Jan_Dim1+9,""))</f>
        <v>43837</v>
      </c>
      <c r="V19" s="1728"/>
      <c r="W19" s="428">
        <f>IF(DAY(Jan_Dim1)=1,IF(AND(YEAR(Jan_Dim1+9)=Année_Calendaire,MONTH(Jan_Dim1+9)=1),Jan_Dim1+9,""),IF(AND(YEAR(Jan_Dim1+16)=Année_Calendaire,MONTH(Jan_Dim1+16)=1),Jan_Dim1+16,""))</f>
        <v>43844</v>
      </c>
      <c r="X19" s="1728"/>
      <c r="Y19" s="428">
        <f>IF(DAY(Jan_Dim1)=1,IF(AND(YEAR(Jan_Dim1+16)=Année_Calendaire,MONTH(Jan_Dim1+16)=1),Jan_Dim1+16,""),IF(AND(YEAR(Jan_Dim1+23)=Année_Calendaire,MONTH(Jan_Dim1+23)=1),Jan_Dim1+23,""))</f>
        <v>43851</v>
      </c>
      <c r="Z19" s="1728"/>
      <c r="AA19" s="428">
        <f>IF(DAY(Jan_Dim1)=1,IF(AND(YEAR(Jan_Dim1+23)=Année_Calendaire,MONTH(Jan_Dim1+23)=1),Jan_Dim1+23,""),IF(AND(YEAR(Jan_Dim1+30)=Année_Calendaire,MONTH(Jan_Dim1+30)=1),Jan_Dim1+30,""))</f>
        <v>43858</v>
      </c>
      <c r="AB19" s="1728"/>
      <c r="AC19" s="429" t="str">
        <f>IF(DAY(Jan_Dim1)=1,IF(AND(YEAR(Jan_Dim1+30)=Année_Calendaire,MONTH(Jan_Dim1+30)=1),Jan_Dim1+30,""),IF(AND(YEAR(Jan_Dim1+37)=Année_Calendaire,MONTH(Jan_Dim1+37)=1),Jan_Dim1+37,""))</f>
        <v/>
      </c>
      <c r="AD19" s="1728"/>
      <c r="AE19" s="458">
        <f>COUNTIF(S18:AD24,AF19)</f>
        <v>0</v>
      </c>
      <c r="AF19" s="1416" t="s">
        <v>368</v>
      </c>
      <c r="AG19" s="386"/>
      <c r="AH19" s="386"/>
      <c r="AI19" s="430" t="str">
        <f>IF(MONTH(AI16)&lt;&gt;MONTH(AI16-(WEEKDAY(AI16,1)-(AP23-1))-IF((WEEKDAY(AI16,1)-(AP23-1))&lt;=0,7,0)+(ROW(AI19)-ROW(AI19))*7+(COLUMN(AI19)-COLUMN(AI19)+1)),"",AI16-(WEEKDAY(AI16,1)-(AP23-1))-IF((WEEKDAY(AI16,1)-(AP23-1))&lt;=0,7,0)+(ROW(AI19)-ROW(AI19))*7+(COLUMN(AI19)-COLUMN(AI19)+1))</f>
        <v/>
      </c>
      <c r="AJ19" s="430" t="str">
        <f>IF(MONTH(AI16)&lt;&gt;MONTH(AI16-(WEEKDAY(AI16,1)-(AP23-1))-IF((WEEKDAY(AI16,1)-(AP23-1))&lt;=0,7,0)+(ROW(AJ19)-ROW(AI19))*7+(COLUMN(AJ19)-COLUMN(AI19)+1)),"",AI16-(WEEKDAY(AI16,1)-(AP23-1))-IF((WEEKDAY(AI16,1)-(AP23-1))&lt;=0,7,0)+(ROW(AJ19)-ROW(AI19))*7+(COLUMN(AJ19)-COLUMN(AI19)+1))</f>
        <v/>
      </c>
      <c r="AK19" s="430" t="str">
        <f>IF(MONTH(AI16)&lt;&gt;MONTH(AI16-(WEEKDAY(AI16,1)-(AP23-1))-IF((WEEKDAY(AI16,1)-(AP23-1))&lt;=0,7,0)+(ROW(AK19)-ROW(AI19))*7+(COLUMN(AK19)-COLUMN(AI19)+1)),"",AI16-(WEEKDAY(AI16,1)-(AP23-1))-IF((WEEKDAY(AI16,1)-(AP23-1))&lt;=0,7,0)+(ROW(AK19)-ROW(AI19))*7+(COLUMN(AK19)-COLUMN(AI19)+1))</f>
        <v/>
      </c>
      <c r="AL19" s="430" t="str">
        <f>IF(MONTH(AI16)&lt;&gt;MONTH(AI16-(WEEKDAY(AI16,1)-(AP23-1))-IF((WEEKDAY(AI16,1)-(AP23-1))&lt;=0,7,0)+(ROW(AL19)-ROW(AI19))*7+(COLUMN(AL19)-COLUMN(AI19)+1)),"",AI16-(WEEKDAY(AI16,1)-(AP23-1))-IF((WEEKDAY(AI16,1)-(AP23-1))&lt;=0,7,0)+(ROW(AL19)-ROW(AI19))*7+(COLUMN(AL19)-COLUMN(AI19)+1))</f>
        <v/>
      </c>
      <c r="AM19" s="430" t="str">
        <f>IF(MONTH(AI16)&lt;&gt;MONTH(AI16-(WEEKDAY(AI16,1)-(AP23-1))-IF((WEEKDAY(AI16,1)-(AP23-1))&lt;=0,7,0)+(ROW(AM19)-ROW(AI19))*7+(COLUMN(AM19)-COLUMN(AI19)+1)),"",AI16-(WEEKDAY(AI16,1)-(AP23-1))-IF((WEEKDAY(AI16,1)-(AP23-1))&lt;=0,7,0)+(ROW(AM19)-ROW(AI19))*7+(COLUMN(AM19)-COLUMN(AI19)+1))</f>
        <v/>
      </c>
      <c r="AN19" s="430" t="str">
        <f>IF(MONTH(AI16)&lt;&gt;MONTH(AI16-(WEEKDAY(AI16,1)-(AP23-1))-IF((WEEKDAY(AI16,1)-(AP23-1))&lt;=0,7,0)+(ROW(AN19)-ROW(AI19))*7+(COLUMN(AN19)-COLUMN(AI19)+1)),"",AI16-(WEEKDAY(AI16,1)-(AP23-1))-IF((WEEKDAY(AI16,1)-(AP23-1))&lt;=0,7,0)+(ROW(AN19)-ROW(AI19))*7+(COLUMN(AN19)-COLUMN(AI19)+1))</f>
        <v/>
      </c>
      <c r="AO19" s="430">
        <f>IF(MONTH(AI16)&lt;&gt;MONTH(AI16-(WEEKDAY(AI16,1)-(AP23-1))-IF((WEEKDAY(AI16,1)-(AP23-1))&lt;=0,7,0)+(ROW(AO19)-ROW(AI19))*7+(COLUMN(AO19)-COLUMN(AI19)+1)),"",AI16-(WEEKDAY(AI16,1)-(AP23-1))-IF((WEEKDAY(AI16,1)-(AP23-1))&lt;=0,7,0)+(ROW(AO19)-ROW(AI19))*7+(COLUMN(AO19)-COLUMN(AI19)+1))</f>
        <v>43800</v>
      </c>
      <c r="AP19" s="1437">
        <f>Année_Calendaire-1</f>
        <v>2019</v>
      </c>
      <c r="AQ19" s="1438" t="s">
        <v>1043</v>
      </c>
      <c r="AR19" s="386"/>
      <c r="AS19" s="386"/>
      <c r="AT19" s="386"/>
      <c r="AU19" s="386"/>
      <c r="AV19" s="386"/>
      <c r="AW19" s="386"/>
      <c r="AX19" s="386"/>
    </row>
    <row r="20" spans="1:52" ht="13.5" customHeight="1" x14ac:dyDescent="0.25">
      <c r="B20" s="1414" t="s">
        <v>569</v>
      </c>
      <c r="C20" s="1415" t="str">
        <f>AK19</f>
        <v/>
      </c>
      <c r="D20" s="1728"/>
      <c r="E20" s="428">
        <f>AK20</f>
        <v>43803</v>
      </c>
      <c r="F20" s="1728">
        <v>0.32291666666666669</v>
      </c>
      <c r="G20" s="428">
        <f>AK21</f>
        <v>43810</v>
      </c>
      <c r="H20" s="1728"/>
      <c r="I20" s="428">
        <f>AK22</f>
        <v>43817</v>
      </c>
      <c r="J20" s="1728"/>
      <c r="K20" s="428">
        <f>AK23</f>
        <v>43824</v>
      </c>
      <c r="L20" s="1728"/>
      <c r="M20" s="1417" t="s">
        <v>685</v>
      </c>
      <c r="N20" s="1418"/>
      <c r="O20" s="460">
        <f>COUNTIF(C18:N24,P20)</f>
        <v>0</v>
      </c>
      <c r="P20" s="461" t="s">
        <v>7</v>
      </c>
      <c r="Q20" s="1366"/>
      <c r="R20" s="427" t="s">
        <v>569</v>
      </c>
      <c r="S20" s="1415">
        <f>IF(DAY(Jan_Dim1)=1,"",IF(AND(YEAR(Jan_Dim1+3)=Année_Calendaire,MONTH(Jan_Dim1+3)=1),Jan_Dim1+3,""))</f>
        <v>43831</v>
      </c>
      <c r="T20" s="1728"/>
      <c r="U20" s="428">
        <f>IF(DAY(Jan_Dim1)=1,IF(AND(YEAR(Jan_Dim1+3)=Année_Calendaire,MONTH(Jan_Dim1+3)=1),Jan_Dim1+3,""),IF(AND(YEAR(Jan_Dim1+10)=Année_Calendaire,MONTH(Jan_Dim1+10)=1),Jan_Dim1+10,""))</f>
        <v>43838</v>
      </c>
      <c r="V20" s="1728"/>
      <c r="W20" s="428">
        <f>IF(DAY(Jan_Dim1)=1,IF(AND(YEAR(Jan_Dim1+10)=Année_Calendaire,MONTH(Jan_Dim1+10)=1),Jan_Dim1+10,""),IF(AND(YEAR(Jan_Dim1+17)=Année_Calendaire,MONTH(Jan_Dim1+17)=1),Jan_Dim1+17,""))</f>
        <v>43845</v>
      </c>
      <c r="X20" s="1728"/>
      <c r="Y20" s="428">
        <f>IF(DAY(Jan_Dim1)=1,IF(AND(YEAR(Jan_Dim1+17)=Année_Calendaire,MONTH(Jan_Dim1+17)=1),Jan_Dim1+17,""),IF(AND(YEAR(Jan_Dim1+24)=Année_Calendaire,MONTH(Jan_Dim1+24)=1),Jan_Dim1+24,""))</f>
        <v>43852</v>
      </c>
      <c r="Z20" s="1728"/>
      <c r="AA20" s="428">
        <f>IF(DAY(Jan_Dim1)=1,IF(AND(YEAR(Jan_Dim1+24)=Année_Calendaire,MONTH(Jan_Dim1+24)=1),Jan_Dim1+24,""),IF(AND(YEAR(Jan_Dim1+31)=Année_Calendaire,MONTH(Jan_Dim1+31)=1),Jan_Dim1+31,""))</f>
        <v>43859</v>
      </c>
      <c r="AB20" s="1728"/>
      <c r="AC20" s="1417" t="s">
        <v>685</v>
      </c>
      <c r="AD20" s="1418"/>
      <c r="AE20" s="460">
        <f>COUNTIF(S18:AD24,AF20)</f>
        <v>0</v>
      </c>
      <c r="AF20" s="1419" t="s">
        <v>7</v>
      </c>
      <c r="AG20" s="386"/>
      <c r="AH20" s="386"/>
      <c r="AI20" s="430">
        <f>IF(MONTH(AI16)&lt;&gt;MONTH(AI16-(WEEKDAY(AI16,1)-(AP23-1))-IF((WEEKDAY(AI16,1)-(AP23-1))&lt;=0,7,0)+(ROW(AI20)-ROW(AI19))*7+(COLUMN(AI20)-COLUMN(AI19)+1)),"",AI16-(WEEKDAY(AI16,1)-(AP23-1))-IF((WEEKDAY(AI16,1)-(AP23-1))&lt;=0,7,0)+(ROW(AI20)-ROW(AI19))*7+(COLUMN(AI20)-COLUMN(AI19)+1))</f>
        <v>43801</v>
      </c>
      <c r="AJ20" s="430">
        <f>IF(MONTH(AI16)&lt;&gt;MONTH(AI16-(WEEKDAY(AI16,1)-(AP23-1))-IF((WEEKDAY(AI16,1)-(AP23-1))&lt;=0,7,0)+(ROW(AJ20)-ROW(AI19))*7+(COLUMN(AJ20)-COLUMN(AI19)+1)),"",AI16-(WEEKDAY(AI16,1)-(AP23-1))-IF((WEEKDAY(AI16,1)-(AP23-1))&lt;=0,7,0)+(ROW(AJ20)-ROW(AI19))*7+(COLUMN(AJ20)-COLUMN(AI19)+1))</f>
        <v>43802</v>
      </c>
      <c r="AK20" s="430">
        <f>IF(MONTH(AI16)&lt;&gt;MONTH(AI16-(WEEKDAY(AI16,1)-(AP23-1))-IF((WEEKDAY(AI16,1)-(AP23-1))&lt;=0,7,0)+(ROW(AK20)-ROW(AI19))*7+(COLUMN(AK20)-COLUMN(AI19)+1)),"",AI16-(WEEKDAY(AI16,1)-(AP23-1))-IF((WEEKDAY(AI16,1)-(AP23-1))&lt;=0,7,0)+(ROW(AK20)-ROW(AI19))*7+(COLUMN(AK20)-COLUMN(AI19)+1))</f>
        <v>43803</v>
      </c>
      <c r="AL20" s="430">
        <f>IF(MONTH(AI16)&lt;&gt;MONTH(AI16-(WEEKDAY(AI16,1)-(AP23-1))-IF((WEEKDAY(AI16,1)-(AP23-1))&lt;=0,7,0)+(ROW(AL20)-ROW(AI19))*7+(COLUMN(AL20)-COLUMN(AI19)+1)),"",AI16-(WEEKDAY(AI16,1)-(AP23-1))-IF((WEEKDAY(AI16,1)-(AP23-1))&lt;=0,7,0)+(ROW(AL20)-ROW(AI19))*7+(COLUMN(AL20)-COLUMN(AI19)+1))</f>
        <v>43804</v>
      </c>
      <c r="AM20" s="430">
        <f>IF(MONTH(AI16)&lt;&gt;MONTH(AI16-(WEEKDAY(AI16,1)-(AP23-1))-IF((WEEKDAY(AI16,1)-(AP23-1))&lt;=0,7,0)+(ROW(AM20)-ROW(AI19))*7+(COLUMN(AM20)-COLUMN(AI19)+1)),"",AI16-(WEEKDAY(AI16,1)-(AP23-1))-IF((WEEKDAY(AI16,1)-(AP23-1))&lt;=0,7,0)+(ROW(AM20)-ROW(AI19))*7+(COLUMN(AM20)-COLUMN(AI19)+1))</f>
        <v>43805</v>
      </c>
      <c r="AN20" s="430">
        <f>IF(MONTH(AI16)&lt;&gt;MONTH(AI16-(WEEKDAY(AI16,1)-(AP23-1))-IF((WEEKDAY(AI16,1)-(AP23-1))&lt;=0,7,0)+(ROW(AN20)-ROW(AI19))*7+(COLUMN(AN20)-COLUMN(AI19)+1)),"",AI16-(WEEKDAY(AI16,1)-(AP23-1))-IF((WEEKDAY(AI16,1)-(AP23-1))&lt;=0,7,0)+(ROW(AN20)-ROW(AI19))*7+(COLUMN(AN20)-COLUMN(AI19)+1))</f>
        <v>43806</v>
      </c>
      <c r="AO20" s="430">
        <f>IF(MONTH(AI16)&lt;&gt;MONTH(AI16-(WEEKDAY(AI16,1)-(AP23-1))-IF((WEEKDAY(AI16,1)-(AP23-1))&lt;=0,7,0)+(ROW(AO20)-ROW(AI19))*7+(COLUMN(AO20)-COLUMN(AI19)+1)),"",AI16-(WEEKDAY(AI16,1)-(AP23-1))-IF((WEEKDAY(AI16,1)-(AP23-1))&lt;=0,7,0)+(ROW(AO20)-ROW(AI19))*7+(COLUMN(AO20)-COLUMN(AI19)+1))</f>
        <v>43807</v>
      </c>
      <c r="AP20" s="426" t="s">
        <v>693</v>
      </c>
      <c r="AQ20" s="1438" t="s">
        <v>1045</v>
      </c>
      <c r="AR20" s="386"/>
      <c r="AS20" s="386"/>
      <c r="AT20" s="386"/>
      <c r="AU20" s="386"/>
      <c r="AV20" s="386"/>
      <c r="AW20" s="386"/>
      <c r="AX20" s="386"/>
    </row>
    <row r="21" spans="1:52" ht="13.5" customHeight="1" x14ac:dyDescent="0.25">
      <c r="B21" s="1414" t="s">
        <v>556</v>
      </c>
      <c r="C21" s="1415" t="str">
        <f>AL19</f>
        <v/>
      </c>
      <c r="D21" s="1728"/>
      <c r="E21" s="428">
        <f>AL20</f>
        <v>43804</v>
      </c>
      <c r="F21" s="1420" t="s">
        <v>368</v>
      </c>
      <c r="G21" s="428">
        <f>AL21</f>
        <v>43811</v>
      </c>
      <c r="H21" s="1728"/>
      <c r="I21" s="428">
        <f>AL22</f>
        <v>43818</v>
      </c>
      <c r="J21" s="1728"/>
      <c r="K21" s="428">
        <f>AL23</f>
        <v>43825</v>
      </c>
      <c r="L21" s="1728"/>
      <c r="M21" s="1628">
        <f>SUM(D18:D24,F18:F24,H18:H24,J18:J24,L18:L24,N18:N19)</f>
        <v>1.0555555555555556</v>
      </c>
      <c r="N21" s="1629"/>
      <c r="O21" s="462">
        <f>COUNTIF(C18:N24,P21)</f>
        <v>0</v>
      </c>
      <c r="P21" s="463" t="s">
        <v>373</v>
      </c>
      <c r="Q21" s="1366"/>
      <c r="R21" s="427" t="s">
        <v>556</v>
      </c>
      <c r="S21" s="1415">
        <f>IF(DAY(Jan_Dim1)=1,"",IF(AND(YEAR(Jan_Dim1+4)=Année_Calendaire,MONTH(Jan_Dim1+4)=1),Jan_Dim1+4,""))</f>
        <v>43832</v>
      </c>
      <c r="T21" s="1728"/>
      <c r="U21" s="428">
        <f>IF(DAY(Jan_Dim1)=1,IF(AND(YEAR(Jan_Dim1+4)=Année_Calendaire,MONTH(Jan_Dim1+4)=1),Jan_Dim1+4,""),IF(AND(YEAR(Jan_Dim1+11)=Année_Calendaire,MONTH(Jan_Dim1+11)=1),Jan_Dim1+11,""))</f>
        <v>43839</v>
      </c>
      <c r="V21" s="1728"/>
      <c r="W21" s="428">
        <f>IF(DAY(Jan_Dim1)=1,IF(AND(YEAR(Jan_Dim1+11)=Année_Calendaire,MONTH(Jan_Dim1+11)=1),Jan_Dim1+11,""),IF(AND(YEAR(Jan_Dim1+18)=Année_Calendaire,MONTH(Jan_Dim1+18)=1),Jan_Dim1+18,""))</f>
        <v>43846</v>
      </c>
      <c r="X21" s="1728"/>
      <c r="Y21" s="428">
        <f>IF(DAY(Jan_Dim1)=1,IF(AND(YEAR(Jan_Dim1+18)=Année_Calendaire,MONTH(Jan_Dim1+18)=1),Jan_Dim1+18,""),IF(AND(YEAR(Jan_Dim1+25)=Année_Calendaire,MONTH(Jan_Dim1+25)=1),Jan_Dim1+25,""))</f>
        <v>43853</v>
      </c>
      <c r="Z21" s="1728"/>
      <c r="AA21" s="428">
        <f>IF(DAY(Jan_Dim1)=1,IF(AND(YEAR(Jan_Dim1+25)=Année_Calendaire,MONTH(Jan_Dim1+25)=1),Jan_Dim1+25,""),IF(AND(YEAR(Jan_Dim1+32)=Année_Calendaire,MONTH(Jan_Dim1+32)=1),Jan_Dim1+32,""))</f>
        <v>43860</v>
      </c>
      <c r="AB21" s="1728"/>
      <c r="AC21" s="1628">
        <f>SUM(T18:T24,V18:V24,X18:X24,Z18:Z24,AB18:AB24,AD18:AD19)</f>
        <v>0</v>
      </c>
      <c r="AD21" s="1629"/>
      <c r="AE21" s="462">
        <f>COUNTIF(S18:AD24,AF21)</f>
        <v>0</v>
      </c>
      <c r="AF21" s="1421" t="s">
        <v>373</v>
      </c>
      <c r="AG21" s="386"/>
      <c r="AH21" s="386"/>
      <c r="AI21" s="430">
        <f>IF(MONTH(AI16)&lt;&gt;MONTH(AI16-(WEEKDAY(AI16,1)-(AP23-1))-IF((WEEKDAY(AI16,1)-(AP23-1))&lt;=0,7,0)+(ROW(AI21)-ROW(AI19))*7+(COLUMN(AI21)-COLUMN(AI19)+1)),"",AI16-(WEEKDAY(AI16,1)-(AP23-1))-IF((WEEKDAY(AI16,1)-(AP23-1))&lt;=0,7,0)+(ROW(AI21)-ROW(AI19))*7+(COLUMN(AI21)-COLUMN(AI19)+1))</f>
        <v>43808</v>
      </c>
      <c r="AJ21" s="430">
        <f>IF(MONTH(AI16)&lt;&gt;MONTH(AI16-(WEEKDAY(AI16,1)-(AP23-1))-IF((WEEKDAY(AI16,1)-(AP23-1))&lt;=0,7,0)+(ROW(AJ21)-ROW(AI19))*7+(COLUMN(AJ21)-COLUMN(AI19)+1)),"",AI16-(WEEKDAY(AI16,1)-(AP23-1))-IF((WEEKDAY(AI16,1)-(AP23-1))&lt;=0,7,0)+(ROW(AJ21)-ROW(AI19))*7+(COLUMN(AJ21)-COLUMN(AI19)+1))</f>
        <v>43809</v>
      </c>
      <c r="AK21" s="430">
        <f>IF(MONTH(AI16)&lt;&gt;MONTH(AI16-(WEEKDAY(AI16,1)-(AP23-1))-IF((WEEKDAY(AI16,1)-(AP23-1))&lt;=0,7,0)+(ROW(AK21)-ROW(AI19))*7+(COLUMN(AK21)-COLUMN(AI19)+1)),"",AI16-(WEEKDAY(AI16,1)-(AP23-1))-IF((WEEKDAY(AI16,1)-(AP23-1))&lt;=0,7,0)+(ROW(AK21)-ROW(AI19))*7+(COLUMN(AK21)-COLUMN(AI19)+1))</f>
        <v>43810</v>
      </c>
      <c r="AL21" s="430">
        <f>IF(MONTH(AI16)&lt;&gt;MONTH(AI16-(WEEKDAY(AI16,1)-(AP23-1))-IF((WEEKDAY(AI16,1)-(AP23-1))&lt;=0,7,0)+(ROW(AL21)-ROW(AI19))*7+(COLUMN(AL21)-COLUMN(AI19)+1)),"",AI16-(WEEKDAY(AI16,1)-(AP23-1))-IF((WEEKDAY(AI16,1)-(AP23-1))&lt;=0,7,0)+(ROW(AL21)-ROW(AI19))*7+(COLUMN(AL21)-COLUMN(AI19)+1))</f>
        <v>43811</v>
      </c>
      <c r="AM21" s="430">
        <f>IF(MONTH(AI16)&lt;&gt;MONTH(AI16-(WEEKDAY(AI16,1)-(AP23-1))-IF((WEEKDAY(AI16,1)-(AP23-1))&lt;=0,7,0)+(ROW(AM21)-ROW(AI19))*7+(COLUMN(AM21)-COLUMN(AI19)+1)),"",AI16-(WEEKDAY(AI16,1)-(AP23-1))-IF((WEEKDAY(AI16,1)-(AP23-1))&lt;=0,7,0)+(ROW(AM21)-ROW(AI19))*7+(COLUMN(AM21)-COLUMN(AI19)+1))</f>
        <v>43812</v>
      </c>
      <c r="AN21" s="430">
        <f>IF(MONTH(AI16)&lt;&gt;MONTH(AI16-(WEEKDAY(AI16,1)-(AP23-1))-IF((WEEKDAY(AI16,1)-(AP23-1))&lt;=0,7,0)+(ROW(AN21)-ROW(AI19))*7+(COLUMN(AN21)-COLUMN(AI19)+1)),"",AI16-(WEEKDAY(AI16,1)-(AP23-1))-IF((WEEKDAY(AI16,1)-(AP23-1))&lt;=0,7,0)+(ROW(AN21)-ROW(AI19))*7+(COLUMN(AN21)-COLUMN(AI19)+1))</f>
        <v>43813</v>
      </c>
      <c r="AO21" s="430">
        <f>IF(MONTH(AI16)&lt;&gt;MONTH(AI16-(WEEKDAY(AI16,1)-(AP23-1))-IF((WEEKDAY(AI16,1)-(AP23-1))&lt;=0,7,0)+(ROW(AO21)-ROW(AI19))*7+(COLUMN(AO21)-COLUMN(AI19)+1)),"",AI16-(WEEKDAY(AI16,1)-(AP23-1))-IF((WEEKDAY(AI16,1)-(AP23-1))&lt;=0,7,0)+(ROW(AO21)-ROW(AI19))*7+(COLUMN(AO21)-COLUMN(AI19)+1))</f>
        <v>43814</v>
      </c>
      <c r="AP21" s="1437">
        <v>12</v>
      </c>
      <c r="AQ21" s="386"/>
      <c r="AR21" s="386"/>
      <c r="AS21" s="386"/>
      <c r="AT21" s="386"/>
      <c r="AU21" s="386"/>
      <c r="AV21" s="386"/>
      <c r="AW21" s="386"/>
      <c r="AX21" s="386"/>
    </row>
    <row r="22" spans="1:52" s="371" customFormat="1" ht="13.5" customHeight="1" x14ac:dyDescent="0.25">
      <c r="A22" s="355"/>
      <c r="B22" s="1414" t="s">
        <v>570</v>
      </c>
      <c r="C22" s="1415" t="str">
        <f>AM19</f>
        <v/>
      </c>
      <c r="D22" s="1728"/>
      <c r="E22" s="428">
        <f>AM20</f>
        <v>43805</v>
      </c>
      <c r="F22" s="1728">
        <v>0.11458333333333333</v>
      </c>
      <c r="G22" s="428">
        <f>AM21</f>
        <v>43812</v>
      </c>
      <c r="H22" s="1728"/>
      <c r="I22" s="428">
        <f>AM22</f>
        <v>43819</v>
      </c>
      <c r="J22" s="1728"/>
      <c r="K22" s="428">
        <f>AM23</f>
        <v>43826</v>
      </c>
      <c r="L22" s="1728"/>
      <c r="M22" s="433">
        <f>SUM(E17:N17)</f>
        <v>4</v>
      </c>
      <c r="N22" s="434" t="s">
        <v>387</v>
      </c>
      <c r="O22" s="464">
        <f>COUNTIF(C18:N24,P22)</f>
        <v>0</v>
      </c>
      <c r="P22" s="465" t="s">
        <v>8</v>
      </c>
      <c r="Q22" s="1366"/>
      <c r="R22" s="427" t="s">
        <v>570</v>
      </c>
      <c r="S22" s="1415">
        <f>IF(DAY(Jan_Dim1)=1,"",IF(AND(YEAR(Jan_Dim1+5)=Année_Calendaire,MONTH(Jan_Dim1+5)=1),Jan_Dim1+5,""))</f>
        <v>43833</v>
      </c>
      <c r="T22" s="1728"/>
      <c r="U22" s="428">
        <f>IF(DAY(Jan_Dim1)=1,IF(AND(YEAR(Jan_Dim1+5)=Année_Calendaire,MONTH(Jan_Dim1+5)=1),Jan_Dim1+5,""),IF(AND(YEAR(Jan_Dim1+12)=Année_Calendaire,MONTH(Jan_Dim1+12)=1),Jan_Dim1+12,""))</f>
        <v>43840</v>
      </c>
      <c r="V22" s="1728"/>
      <c r="W22" s="428">
        <f>IF(DAY(Jan_Dim1)=1,IF(AND(YEAR(Jan_Dim1+12)=Année_Calendaire,MONTH(Jan_Dim1+12)=1),Jan_Dim1+12,""),IF(AND(YEAR(Jan_Dim1+19)=Année_Calendaire,MONTH(Jan_Dim1+19)=1),Jan_Dim1+19,""))</f>
        <v>43847</v>
      </c>
      <c r="X22" s="1728"/>
      <c r="Y22" s="428">
        <f>IF(DAY(Jan_Dim1)=1,IF(AND(YEAR(Jan_Dim1+19)=Année_Calendaire,MONTH(Jan_Dim1+19)=1),Jan_Dim1+19,""),IF(AND(YEAR(Jan_Dim1+26)=Année_Calendaire,MONTH(Jan_Dim1+26)=1),Jan_Dim1+26,""))</f>
        <v>43854</v>
      </c>
      <c r="Z22" s="1728"/>
      <c r="AA22" s="428">
        <f>IF(DAY(Jan_Dim1)=1,IF(AND(YEAR(Jan_Dim1+26)=Année_Calendaire,MONTH(Jan_Dim1+26)=1),Jan_Dim1+26,""),IF(AND(YEAR(Jan_Dim1+33)=Année_Calendaire,MONTH(Jan_Dim1+33)=1),Jan_Dim1+33,""))</f>
        <v>43861</v>
      </c>
      <c r="AB22" s="1728"/>
      <c r="AC22" s="433">
        <f>SUM(T17:AD17)</f>
        <v>0</v>
      </c>
      <c r="AD22" s="434" t="s">
        <v>387</v>
      </c>
      <c r="AE22" s="464">
        <f>COUNTIF(S18:AD24,AF22)</f>
        <v>0</v>
      </c>
      <c r="AF22" s="1422" t="s">
        <v>8</v>
      </c>
      <c r="AG22" s="386"/>
      <c r="AH22" s="386"/>
      <c r="AI22" s="430">
        <f>IF(MONTH(AI16)&lt;&gt;MONTH(AI16-(WEEKDAY(AI16,1)-(AP23-1))-IF((WEEKDAY(AI16,1)-(AP23-1))&lt;=0,7,0)+(ROW(AI22)-ROW(AI19))*7+(COLUMN(AI22)-COLUMN(AI19)+1)),"",AI16-(WEEKDAY(AI16,1)-(AP23-1))-IF((WEEKDAY(AI16,1)-(AP23-1))&lt;=0,7,0)+(ROW(AI22)-ROW(AI19))*7+(COLUMN(AI22)-COLUMN(AI19)+1))</f>
        <v>43815</v>
      </c>
      <c r="AJ22" s="430">
        <f>IF(MONTH(AI16)&lt;&gt;MONTH(AI16-(WEEKDAY(AI16,1)-(AP23-1))-IF((WEEKDAY(AI16,1)-(AP23-1))&lt;=0,7,0)+(ROW(AJ22)-ROW(AI19))*7+(COLUMN(AJ22)-COLUMN(AI19)+1)),"",AI16-(WEEKDAY(AI16,1)-(AP23-1))-IF((WEEKDAY(AI16,1)-(AP23-1))&lt;=0,7,0)+(ROW(AJ22)-ROW(AI19))*7+(COLUMN(AJ22)-COLUMN(AI19)+1))</f>
        <v>43816</v>
      </c>
      <c r="AK22" s="430">
        <f>IF(MONTH(AI16)&lt;&gt;MONTH(AI16-(WEEKDAY(AI16,1)-(AP23-1))-IF((WEEKDAY(AI16,1)-(AP23-1))&lt;=0,7,0)+(ROW(AK22)-ROW(AI19))*7+(COLUMN(AK22)-COLUMN(AI19)+1)),"",AI16-(WEEKDAY(AI16,1)-(AP23-1))-IF((WEEKDAY(AI16,1)-(AP23-1))&lt;=0,7,0)+(ROW(AK22)-ROW(AI19))*7+(COLUMN(AK22)-COLUMN(AI19)+1))</f>
        <v>43817</v>
      </c>
      <c r="AL22" s="430">
        <f>IF(MONTH(AI16)&lt;&gt;MONTH(AI16-(WEEKDAY(AI16,1)-(AP23-1))-IF((WEEKDAY(AI16,1)-(AP23-1))&lt;=0,7,0)+(ROW(AL22)-ROW(AI19))*7+(COLUMN(AL22)-COLUMN(AI19)+1)),"",AI16-(WEEKDAY(AI16,1)-(AP23-1))-IF((WEEKDAY(AI16,1)-(AP23-1))&lt;=0,7,0)+(ROW(AL22)-ROW(AI19))*7+(COLUMN(AL22)-COLUMN(AI19)+1))</f>
        <v>43818</v>
      </c>
      <c r="AM22" s="430">
        <f>IF(MONTH(AI16)&lt;&gt;MONTH(AI16-(WEEKDAY(AI16,1)-(AP23-1))-IF((WEEKDAY(AI16,1)-(AP23-1))&lt;=0,7,0)+(ROW(AM22)-ROW(AI19))*7+(COLUMN(AM22)-COLUMN(AI19)+1)),"",AI16-(WEEKDAY(AI16,1)-(AP23-1))-IF((WEEKDAY(AI16,1)-(AP23-1))&lt;=0,7,0)+(ROW(AM22)-ROW(AI19))*7+(COLUMN(AM22)-COLUMN(AI19)+1))</f>
        <v>43819</v>
      </c>
      <c r="AN22" s="430">
        <f>IF(MONTH(AI16)&lt;&gt;MONTH(AI16-(WEEKDAY(AI16,1)-(AP23-1))-IF((WEEKDAY(AI16,1)-(AP23-1))&lt;=0,7,0)+(ROW(AN22)-ROW(AI19))*7+(COLUMN(AN22)-COLUMN(AI19)+1)),"",AI16-(WEEKDAY(AI16,1)-(AP23-1))-IF((WEEKDAY(AI16,1)-(AP23-1))&lt;=0,7,0)+(ROW(AN22)-ROW(AI19))*7+(COLUMN(AN22)-COLUMN(AI19)+1))</f>
        <v>43820</v>
      </c>
      <c r="AO22" s="430">
        <f>IF(MONTH(AI16)&lt;&gt;MONTH(AI16-(WEEKDAY(AI16,1)-(AP23-1))-IF((WEEKDAY(AI16,1)-(AP23-1))&lt;=0,7,0)+(ROW(AO22)-ROW(AI19))*7+(COLUMN(AO22)-COLUMN(AI19)+1)),"",AI16-(WEEKDAY(AI16,1)-(AP23-1))-IF((WEEKDAY(AI16,1)-(AP23-1))&lt;=0,7,0)+(ROW(AO22)-ROW(AI19))*7+(COLUMN(AO22)-COLUMN(AI19)+1))</f>
        <v>43821</v>
      </c>
      <c r="AP22" s="435" t="s">
        <v>694</v>
      </c>
      <c r="AQ22" s="386"/>
      <c r="AR22" s="386"/>
      <c r="AS22" s="387"/>
      <c r="AT22" s="387"/>
      <c r="AU22" s="387"/>
      <c r="AV22" s="387"/>
      <c r="AW22" s="387"/>
      <c r="AX22" s="387"/>
      <c r="AZ22" s="394"/>
    </row>
    <row r="23" spans="1:52" s="371" customFormat="1" ht="13.5" customHeight="1" x14ac:dyDescent="0.25">
      <c r="A23" s="396"/>
      <c r="B23" s="1423" t="s">
        <v>571</v>
      </c>
      <c r="C23" s="1415" t="str">
        <f>AN19</f>
        <v/>
      </c>
      <c r="D23" s="1728"/>
      <c r="E23" s="437">
        <f>AN20</f>
        <v>43806</v>
      </c>
      <c r="F23" s="1728"/>
      <c r="G23" s="437">
        <f>AN21</f>
        <v>43813</v>
      </c>
      <c r="H23" s="1728"/>
      <c r="I23" s="437">
        <f>AN22</f>
        <v>43820</v>
      </c>
      <c r="J23" s="1728"/>
      <c r="K23" s="437">
        <f>AN23</f>
        <v>43827</v>
      </c>
      <c r="L23" s="1728"/>
      <c r="M23" s="438" t="s">
        <v>686</v>
      </c>
      <c r="N23" s="439"/>
      <c r="O23" s="466">
        <f>COUNTIF(C18:N24,P23)</f>
        <v>0</v>
      </c>
      <c r="P23" s="467" t="s">
        <v>356</v>
      </c>
      <c r="Q23" s="1366"/>
      <c r="R23" s="436" t="s">
        <v>571</v>
      </c>
      <c r="S23" s="1424">
        <f>IF(DAY(Jan_Dim1)=1,"",IF(AND(YEAR(Jan_Dim1+6)=Année_Calendaire,MONTH(Jan_Dim1+6)=1),Jan_Dim1+6,""))</f>
        <v>43834</v>
      </c>
      <c r="T23" s="1728"/>
      <c r="U23" s="437">
        <f>IF(DAY(Jan_Dim1)=1,IF(AND(YEAR(Jan_Dim1+6)=Année_Calendaire,MONTH(Jan_Dim1+6)=1),Jan_Dim1+6,""),IF(AND(YEAR(Jan_Dim1+13)=Année_Calendaire,MONTH(Jan_Dim1+13)=1),Jan_Dim1+13,""))</f>
        <v>43841</v>
      </c>
      <c r="V23" s="1728"/>
      <c r="W23" s="437">
        <f>IF(DAY(Jan_Dim1)=1,IF(AND(YEAR(Jan_Dim1+13)=Année_Calendaire,MONTH(Jan_Dim1+13)=1),Jan_Dim1+13,""),IF(AND(YEAR(Jan_Dim1+20)=Année_Calendaire,MONTH(Jan_Dim1+20)=1),Jan_Dim1+20,""))</f>
        <v>43848</v>
      </c>
      <c r="X23" s="1728"/>
      <c r="Y23" s="437">
        <f>IF(DAY(Jan_Dim1)=1,IF(AND(YEAR(Jan_Dim1+20)=Année_Calendaire,MONTH(Jan_Dim1+20)=1),Jan_Dim1+20,""),IF(AND(YEAR(Jan_Dim1+27)=Année_Calendaire,MONTH(Jan_Dim1+27)=1),Jan_Dim1+27,""))</f>
        <v>43855</v>
      </c>
      <c r="Z23" s="1728"/>
      <c r="AA23" s="437" t="str">
        <f>IF(DAY(Jan_Dim1)=1,IF(AND(YEAR(Jan_Dim1+27)=Année_Calendaire,MONTH(Jan_Dim1+27)=1),Jan_Dim1+27,""),IF(AND(YEAR(Jan_Dim1+34)=Année_Calendaire,MONTH(Jan_Dim1+34)=1),Jan_Dim1+34,""))</f>
        <v/>
      </c>
      <c r="AB23" s="1728"/>
      <c r="AC23" s="438" t="s">
        <v>686</v>
      </c>
      <c r="AD23" s="439"/>
      <c r="AE23" s="466">
        <f>COUNTIF(S18:AD24,AF23)</f>
        <v>0</v>
      </c>
      <c r="AF23" s="1425" t="s">
        <v>356</v>
      </c>
      <c r="AG23" s="386"/>
      <c r="AH23" s="386"/>
      <c r="AI23" s="430">
        <f>IF(MONTH(AI16)&lt;&gt;MONTH(AI16-(WEEKDAY(AI16,1)-(AP23-1))-IF((WEEKDAY(AI16,1)-(AP23-1))&lt;=0,7,0)+(ROW(AI23)-ROW(AI19))*7+(COLUMN(AI23)-COLUMN(AI19)+1)),"",AI16-(WEEKDAY(AI16,1)-(AP23-1))-IF((WEEKDAY(AI16,1)-(AP23-1))&lt;=0,7,0)+(ROW(AI23)-ROW(AI19))*7+(COLUMN(AI23)-COLUMN(AI19)+1))</f>
        <v>43822</v>
      </c>
      <c r="AJ23" s="430">
        <f>IF(MONTH(AI16)&lt;&gt;MONTH(AI16-(WEEKDAY(AI16,1)-(AP23-1))-IF((WEEKDAY(AI16,1)-(AP23-1))&lt;=0,7,0)+(ROW(AJ23)-ROW(AI19))*7+(COLUMN(AJ23)-COLUMN(AI19)+1)),"",AI16-(WEEKDAY(AI16,1)-(AP23-1))-IF((WEEKDAY(AI16,1)-(AP23-1))&lt;=0,7,0)+(ROW(AJ23)-ROW(AI19))*7+(COLUMN(AJ23)-COLUMN(AI19)+1))</f>
        <v>43823</v>
      </c>
      <c r="AK23" s="430">
        <f>IF(MONTH(AI16)&lt;&gt;MONTH(AI16-(WEEKDAY(AI16,1)-(AP23-1))-IF((WEEKDAY(AI16,1)-(AP23-1))&lt;=0,7,0)+(ROW(AK23)-ROW(AI19))*7+(COLUMN(AK23)-COLUMN(AI19)+1)),"",AI16-(WEEKDAY(AI16,1)-(AP23-1))-IF((WEEKDAY(AI16,1)-(AP23-1))&lt;=0,7,0)+(ROW(AK23)-ROW(AI19))*7+(COLUMN(AK23)-COLUMN(AI19)+1))</f>
        <v>43824</v>
      </c>
      <c r="AL23" s="430">
        <f>IF(MONTH(AI16)&lt;&gt;MONTH(AI16-(WEEKDAY(AI16,1)-(AP23-1))-IF((WEEKDAY(AI16,1)-(AP23-1))&lt;=0,7,0)+(ROW(AL23)-ROW(AI19))*7+(COLUMN(AL23)-COLUMN(AI19)+1)),"",AI16-(WEEKDAY(AI16,1)-(AP23-1))-IF((WEEKDAY(AI16,1)-(AP23-1))&lt;=0,7,0)+(ROW(AL23)-ROW(AI19))*7+(COLUMN(AL23)-COLUMN(AI19)+1))</f>
        <v>43825</v>
      </c>
      <c r="AM23" s="430">
        <f>IF(MONTH(AI16)&lt;&gt;MONTH(AI16-(WEEKDAY(AI16,1)-(AP23-1))-IF((WEEKDAY(AI16,1)-(AP23-1))&lt;=0,7,0)+(ROW(AM23)-ROW(AI19))*7+(COLUMN(AM23)-COLUMN(AI19)+1)),"",AI16-(WEEKDAY(AI16,1)-(AP23-1))-IF((WEEKDAY(AI16,1)-(AP23-1))&lt;=0,7,0)+(ROW(AM23)-ROW(AI19))*7+(COLUMN(AM23)-COLUMN(AI19)+1))</f>
        <v>43826</v>
      </c>
      <c r="AN23" s="430">
        <f>IF(MONTH(AI16)&lt;&gt;MONTH(AI16-(WEEKDAY(AI16,1)-(AP23-1))-IF((WEEKDAY(AI16,1)-(AP23-1))&lt;=0,7,0)+(ROW(AN23)-ROW(AI19))*7+(COLUMN(AN23)-COLUMN(AI19)+1)),"",AI16-(WEEKDAY(AI16,1)-(AP23-1))-IF((WEEKDAY(AI16,1)-(AP23-1))&lt;=0,7,0)+(ROW(AN23)-ROW(AI19))*7+(COLUMN(AN23)-COLUMN(AI19)+1))</f>
        <v>43827</v>
      </c>
      <c r="AO23" s="430">
        <f>IF(MONTH(AI16)&lt;&gt;MONTH(AI16-(WEEKDAY(AI16,1)-(AP23-1))-IF((WEEKDAY(AI16,1)-(AP23-1))&lt;=0,7,0)+(ROW(AO23)-ROW(AI19))*7+(COLUMN(AO23)-COLUMN(AI19)+1)),"",AI16-(WEEKDAY(AI16,1)-(AP23-1))-IF((WEEKDAY(AI16,1)-(AP23-1))&lt;=0,7,0)+(ROW(AO23)-ROW(AI19))*7+(COLUMN(AO23)-COLUMN(AI19)+1))</f>
        <v>43828</v>
      </c>
      <c r="AP23" s="440">
        <v>2</v>
      </c>
      <c r="AQ23" s="386"/>
      <c r="AR23" s="386"/>
      <c r="AS23" s="387"/>
      <c r="AT23" s="387"/>
      <c r="AU23" s="387"/>
      <c r="AV23" s="387"/>
      <c r="AW23" s="387"/>
      <c r="AX23" s="387"/>
      <c r="AZ23" s="394"/>
    </row>
    <row r="24" spans="1:52" ht="13.5" customHeight="1" x14ac:dyDescent="0.25">
      <c r="A24" s="396"/>
      <c r="B24" s="1426" t="s">
        <v>572</v>
      </c>
      <c r="C24" s="1750">
        <f>AO19</f>
        <v>43800</v>
      </c>
      <c r="D24" s="1728"/>
      <c r="E24" s="1749">
        <f>AO20</f>
        <v>43807</v>
      </c>
      <c r="F24" s="1728"/>
      <c r="G24" s="442">
        <f>AO21</f>
        <v>43814</v>
      </c>
      <c r="H24" s="1728"/>
      <c r="I24" s="442">
        <f>AO22</f>
        <v>43821</v>
      </c>
      <c r="J24" s="1728"/>
      <c r="K24" s="442">
        <f>AO23</f>
        <v>43828</v>
      </c>
      <c r="L24" s="1728"/>
      <c r="M24" s="1630">
        <f>IF(M21=0,0,M21/M22)</f>
        <v>0.2638888888888889</v>
      </c>
      <c r="N24" s="1633"/>
      <c r="O24" s="468">
        <f>COUNTIF(C18:N24,P24)</f>
        <v>0</v>
      </c>
      <c r="P24" s="1428" t="s">
        <v>358</v>
      </c>
      <c r="Q24" s="1366"/>
      <c r="R24" s="441" t="s">
        <v>572</v>
      </c>
      <c r="S24" s="1427">
        <f>IF(DAY(Jan_Dim1)=1,IF(AND(YEAR(Jan_Dim1)=Année_Calendaire,MONTH(Jan_Dim1)=1),Jan_Dim1,""),IF(AND(YEAR(Jan_Dim1+7)=Année_Calendaire,MONTH(Jan_Dim1+7)=1),Jan_Dim1+7,""))</f>
        <v>43835</v>
      </c>
      <c r="T24" s="1728"/>
      <c r="U24" s="442">
        <f>IF(DAY(Jan_Dim1)=1,IF(AND(YEAR(Jan_Dim1+7)=Année_Calendaire,MONTH(Jan_Dim1+7)=1),Jan_Dim1+7,""),IF(AND(YEAR(Jan_Dim1+14)=Année_Calendaire,MONTH(Jan_Dim1+14)=1),Jan_Dim1+14,""))</f>
        <v>43842</v>
      </c>
      <c r="V24" s="1728"/>
      <c r="W24" s="442">
        <f>IF(DAY(Jan_Dim1)=1,IF(AND(YEAR(Jan_Dim1+14)=Année_Calendaire,MONTH(Jan_Dim1+14)=1),Jan_Dim1+14,""),IF(AND(YEAR(Jan_Dim1+21)=Année_Calendaire,MONTH(Jan_Dim1+21)=1),Jan_Dim1+21,""))</f>
        <v>43849</v>
      </c>
      <c r="X24" s="1728"/>
      <c r="Y24" s="442">
        <f>IF(DAY(Jan_Dim1)=1,IF(AND(YEAR(Jan_Dim1+21)=Année_Calendaire,MONTH(Jan_Dim1+21)=1),Jan_Dim1+21,""),IF(AND(YEAR(Jan_Dim1+28)=Année_Calendaire,MONTH(Jan_Dim1+28)=1),Jan_Dim1+28,""))</f>
        <v>43856</v>
      </c>
      <c r="Z24" s="1728"/>
      <c r="AA24" s="442" t="str">
        <f>IF(DAY(Jan_Dim1)=1,IF(AND(YEAR(Jan_Dim1+28)=Année_Calendaire,MONTH(Jan_Dim1+28)=1),Jan_Dim1+28,""),IF(AND(YEAR(Jan_Dim1+35)=Année_Calendaire,MONTH(Jan_Dim1+35)=1),Jan_Dim1+35,""))</f>
        <v/>
      </c>
      <c r="AB24" s="1728"/>
      <c r="AC24" s="1630">
        <f>IF(AC21=0,0,AC21/AC22)</f>
        <v>0</v>
      </c>
      <c r="AD24" s="1633"/>
      <c r="AE24" s="468">
        <f>COUNTIF(S18:AD24,AF24)</f>
        <v>0</v>
      </c>
      <c r="AF24" s="1429" t="s">
        <v>358</v>
      </c>
      <c r="AG24" s="386"/>
      <c r="AH24" s="386"/>
      <c r="AI24" s="430">
        <f>IF(MONTH(AI16)&lt;&gt;MONTH(AI16-(WEEKDAY(AI16,1)-(AP23-1))-IF((WEEKDAY(AI16,1)-(AP23-1))&lt;=0,7,0)+(ROW(AI24)-ROW(AI19))*7+(COLUMN(AI24)-COLUMN(AI19)+1)),"",AI16-(WEEKDAY(AI16,1)-(AP23-1))-IF((WEEKDAY(AI16,1)-(AP23-1))&lt;=0,7,0)+(ROW(AI24)-ROW(AI19))*7+(COLUMN(AI24)-COLUMN(AI19)+1))</f>
        <v>43829</v>
      </c>
      <c r="AJ24" s="430">
        <f>IF(MONTH(AI16)&lt;&gt;MONTH(AI16-(WEEKDAY(AI16,1)-(AP23-1))-IF((WEEKDAY(AI16,1)-(AP23-1))&lt;=0,7,0)+(ROW(AJ24)-ROW(AI19))*7+(COLUMN(AJ24)-COLUMN(AI19)+1)),"",AI16-(WEEKDAY(AI16,1)-(AP23-1))-IF((WEEKDAY(AI16,1)-(AP23-1))&lt;=0,7,0)+(ROW(AJ24)-ROW(AI19))*7+(COLUMN(AJ24)-COLUMN(AI19)+1))</f>
        <v>43830</v>
      </c>
      <c r="AK24" s="430" t="str">
        <f>IF(MONTH(AI16)&lt;&gt;MONTH(AI16-(WEEKDAY(AI16,1)-(AP23-1))-IF((WEEKDAY(AI16,1)-(AP23-1))&lt;=0,7,0)+(ROW(AK24)-ROW(AI19))*7+(COLUMN(AK24)-COLUMN(AI19)+1)),"",AI16-(WEEKDAY(AI16,1)-(AP23-1))-IF((WEEKDAY(AI16,1)-(AP23-1))&lt;=0,7,0)+(ROW(AK24)-ROW(AI19))*7+(COLUMN(AK24)-COLUMN(AI19)+1))</f>
        <v/>
      </c>
      <c r="AL24" s="430" t="str">
        <f>IF(MONTH(AI16)&lt;&gt;MONTH(AI16-(WEEKDAY(AI16,1)-(AP23-1))-IF((WEEKDAY(AI16,1)-(AP23-1))&lt;=0,7,0)+(ROW(AL24)-ROW(AI19))*7+(COLUMN(AL24)-COLUMN(AI19)+1)),"",AI16-(WEEKDAY(AI16,1)-(AP23-1))-IF((WEEKDAY(AI16,1)-(AP23-1))&lt;=0,7,0)+(ROW(AL24)-ROW(AI19))*7+(COLUMN(AL24)-COLUMN(AI19)+1))</f>
        <v/>
      </c>
      <c r="AM24" s="430" t="str">
        <f>IF(MONTH(AI16)&lt;&gt;MONTH(AI16-(WEEKDAY(AI16,1)-(AP23-1))-IF((WEEKDAY(AI16,1)-(AP23-1))&lt;=0,7,0)+(ROW(AM24)-ROW(AI19))*7+(COLUMN(AM24)-COLUMN(AI19)+1)),"",AI16-(WEEKDAY(AI16,1)-(AP23-1))-IF((WEEKDAY(AI16,1)-(AP23-1))&lt;=0,7,0)+(ROW(AM24)-ROW(AI19))*7+(COLUMN(AM24)-COLUMN(AI19)+1))</f>
        <v/>
      </c>
      <c r="AN24" s="430" t="str">
        <f>IF(MONTH(AI16)&lt;&gt;MONTH(AI16-(WEEKDAY(AI16,1)-(AP23-1))-IF((WEEKDAY(AI16,1)-(AP23-1))&lt;=0,7,0)+(ROW(AN24)-ROW(AI19))*7+(COLUMN(AN24)-COLUMN(AI19)+1)),"",AI16-(WEEKDAY(AI16,1)-(AP23-1))-IF((WEEKDAY(AI16,1)-(AP23-1))&lt;=0,7,0)+(ROW(AN24)-ROW(AI19))*7+(COLUMN(AN24)-COLUMN(AI19)+1))</f>
        <v/>
      </c>
      <c r="AO24" s="430" t="str">
        <f>IF(MONTH(AI16)&lt;&gt;MONTH(AI16-(WEEKDAY(AI16,1)-(AP23-1))-IF((WEEKDAY(AI16,1)-(AP23-1))&lt;=0,7,0)+(ROW(AO24)-ROW(AI19))*7+(COLUMN(AO24)-COLUMN(AI19)+1)),"",AI16-(WEEKDAY(AI16,1)-(AP23-1))-IF((WEEKDAY(AI16,1)-(AP23-1))&lt;=0,7,0)+(ROW(AO24)-ROW(AI19))*7+(COLUMN(AO24)-COLUMN(AI19)+1))</f>
        <v/>
      </c>
      <c r="AP24" s="443" t="s">
        <v>695</v>
      </c>
      <c r="AQ24" s="386"/>
      <c r="AR24" s="386"/>
      <c r="AS24" s="386"/>
      <c r="AT24" s="386"/>
      <c r="AU24" s="386"/>
      <c r="AV24" s="386"/>
      <c r="AW24" s="386"/>
      <c r="AX24" s="386"/>
    </row>
    <row r="25" spans="1:52" ht="13.5" customHeight="1" x14ac:dyDescent="0.25">
      <c r="A25" s="396"/>
      <c r="B25" s="1430" t="s">
        <v>696</v>
      </c>
      <c r="C25" s="1636">
        <f>SUM(D18:D24)</f>
        <v>0</v>
      </c>
      <c r="D25" s="1613"/>
      <c r="E25" s="1612">
        <f>SUM(F18:F24)</f>
        <v>1.0555555555555556</v>
      </c>
      <c r="F25" s="1613"/>
      <c r="G25" s="1612">
        <f>SUM(H18:H24)</f>
        <v>0</v>
      </c>
      <c r="H25" s="1613"/>
      <c r="I25" s="1612">
        <f>SUM(J18:J24)</f>
        <v>0</v>
      </c>
      <c r="J25" s="1613"/>
      <c r="K25" s="1612">
        <f>SUM(L18:L24)</f>
        <v>0</v>
      </c>
      <c r="L25" s="1613"/>
      <c r="M25" s="1612">
        <f>SUM(N18:N19)</f>
        <v>0</v>
      </c>
      <c r="N25" s="1613"/>
      <c r="O25" s="1612">
        <f>SUM(C25:N25)</f>
        <v>1.0555555555555556</v>
      </c>
      <c r="P25" s="1613"/>
      <c r="Q25" s="1366"/>
      <c r="R25" s="1431" t="s">
        <v>696</v>
      </c>
      <c r="S25" s="1636">
        <f>SUM(T18:T24)</f>
        <v>0</v>
      </c>
      <c r="T25" s="1613"/>
      <c r="U25" s="1612">
        <f>SUM(V18:V24)</f>
        <v>0</v>
      </c>
      <c r="V25" s="1613"/>
      <c r="W25" s="1612">
        <f>SUM(X18:X24)</f>
        <v>0</v>
      </c>
      <c r="X25" s="1613"/>
      <c r="Y25" s="1612">
        <f>SUM(Z18:Z24)</f>
        <v>0</v>
      </c>
      <c r="Z25" s="1613"/>
      <c r="AA25" s="1612">
        <f>SUM(AB18:AB24)</f>
        <v>0</v>
      </c>
      <c r="AB25" s="1613"/>
      <c r="AC25" s="1612">
        <f>SUM(AD18:AD19)</f>
        <v>0</v>
      </c>
      <c r="AD25" s="1613"/>
      <c r="AE25" s="1612">
        <f>SUM(S25:AD25)</f>
        <v>0</v>
      </c>
      <c r="AF25" s="1614"/>
      <c r="AG25" s="386"/>
      <c r="AH25" s="386"/>
      <c r="AI25" s="480"/>
      <c r="AJ25" s="480"/>
      <c r="AK25" s="480"/>
      <c r="AL25" s="480"/>
      <c r="AM25" s="480"/>
      <c r="AN25" s="480"/>
      <c r="AO25" s="480"/>
      <c r="AP25" s="480"/>
      <c r="AQ25" s="386"/>
      <c r="AR25" s="386"/>
      <c r="AS25" s="386"/>
      <c r="AT25" s="386"/>
      <c r="AU25" s="386"/>
      <c r="AV25" s="386"/>
      <c r="AW25" s="386"/>
      <c r="AX25" s="386"/>
    </row>
    <row r="26" spans="1:52" ht="5.25" customHeight="1" x14ac:dyDescent="0.25">
      <c r="A26" s="396"/>
      <c r="B26" s="1390"/>
      <c r="C26" s="1373"/>
      <c r="D26" s="1373"/>
      <c r="E26" s="1373"/>
      <c r="F26" s="1373"/>
      <c r="G26" s="1373"/>
      <c r="H26" s="1373"/>
      <c r="I26" s="1373"/>
      <c r="J26" s="1373"/>
      <c r="K26" s="1373"/>
      <c r="L26" s="1373"/>
      <c r="M26" s="1373"/>
      <c r="N26" s="1373"/>
      <c r="O26" s="1373"/>
      <c r="P26" s="1373"/>
      <c r="Q26" s="1366"/>
      <c r="R26" s="1373"/>
      <c r="S26" s="1373"/>
      <c r="T26" s="1373"/>
      <c r="U26" s="1373"/>
      <c r="V26" s="1373"/>
      <c r="W26" s="1373"/>
      <c r="X26" s="1373"/>
      <c r="Y26" s="1373"/>
      <c r="Z26" s="1373"/>
      <c r="AA26" s="1373"/>
      <c r="AB26" s="1373"/>
      <c r="AC26" s="1373"/>
      <c r="AD26" s="1373"/>
      <c r="AE26" s="1373"/>
      <c r="AF26" s="1391"/>
      <c r="AG26" s="387"/>
      <c r="AH26" s="387"/>
      <c r="AI26" s="477"/>
      <c r="AJ26" s="477"/>
      <c r="AK26" s="477"/>
      <c r="AL26" s="477"/>
      <c r="AM26" s="477"/>
      <c r="AN26" s="477"/>
      <c r="AO26" s="477"/>
      <c r="AP26" s="387"/>
      <c r="AQ26" s="387"/>
      <c r="AR26" s="387"/>
      <c r="AS26" s="386"/>
      <c r="AT26" s="386"/>
      <c r="AU26" s="386"/>
      <c r="AV26" s="386"/>
      <c r="AW26" s="386"/>
      <c r="AX26" s="386"/>
    </row>
    <row r="27" spans="1:52" ht="15" customHeight="1" x14ac:dyDescent="0.25">
      <c r="A27" s="396"/>
      <c r="B27" s="1615">
        <f>C35</f>
        <v>43863</v>
      </c>
      <c r="C27" s="1616"/>
      <c r="D27" s="1616"/>
      <c r="E27" s="1366"/>
      <c r="F27" s="1366"/>
      <c r="G27" s="1366"/>
      <c r="H27" s="1366"/>
      <c r="I27" s="1366"/>
      <c r="J27" s="1366"/>
      <c r="K27" s="1432"/>
      <c r="L27" s="1366"/>
      <c r="M27" s="1366"/>
      <c r="N27" s="1366"/>
      <c r="O27" s="1366"/>
      <c r="P27" s="1366"/>
      <c r="Q27" s="1366"/>
      <c r="R27" s="1615">
        <f>S35</f>
        <v>43891</v>
      </c>
      <c r="S27" s="1616"/>
      <c r="T27" s="1616"/>
      <c r="U27" s="1366"/>
      <c r="V27" s="1366"/>
      <c r="W27" s="1366"/>
      <c r="X27" s="1366"/>
      <c r="Y27" s="1366"/>
      <c r="Z27" s="1366"/>
      <c r="AA27" s="1366"/>
      <c r="AB27" s="1366"/>
      <c r="AC27" s="1366"/>
      <c r="AD27" s="1366"/>
      <c r="AE27" s="1366"/>
      <c r="AF27" s="1393"/>
      <c r="AG27" s="386"/>
      <c r="AH27" s="386"/>
      <c r="AI27" s="722" t="s">
        <v>872</v>
      </c>
      <c r="AJ27" s="477"/>
      <c r="AK27" s="477"/>
      <c r="AL27" s="477"/>
      <c r="AM27" s="477"/>
      <c r="AN27" s="477"/>
      <c r="AO27" s="477"/>
      <c r="AP27" s="477"/>
      <c r="AQ27" s="477"/>
      <c r="AR27" s="386"/>
      <c r="AS27" s="386"/>
      <c r="AT27" s="386"/>
      <c r="AU27" s="386"/>
      <c r="AV27" s="386"/>
      <c r="AW27" s="386"/>
      <c r="AX27" s="386"/>
    </row>
    <row r="28" spans="1:52" ht="7.5" customHeight="1" x14ac:dyDescent="0.25">
      <c r="A28" s="396"/>
      <c r="B28" s="1433" t="s">
        <v>691</v>
      </c>
      <c r="C28" s="1403"/>
      <c r="D28" s="1399">
        <f>COUNTIF(D29:D35,"&gt;0")</f>
        <v>0</v>
      </c>
      <c r="E28" s="1398"/>
      <c r="F28" s="1399">
        <f>COUNTIF(F29:F35,"&gt;0")</f>
        <v>1</v>
      </c>
      <c r="G28" s="1398"/>
      <c r="H28" s="1399">
        <f>COUNTIF(H29:H35,"&gt;0")</f>
        <v>0</v>
      </c>
      <c r="I28" s="1398"/>
      <c r="J28" s="1399">
        <f>COUNTIF(J29:J35,"&gt;0")</f>
        <v>0</v>
      </c>
      <c r="K28" s="1398"/>
      <c r="L28" s="1399">
        <f>COUNTIF(L29:L35,"&gt;0")</f>
        <v>0</v>
      </c>
      <c r="M28" s="1398"/>
      <c r="N28" s="1399">
        <f>COUNTIF(N29:N30,"&gt;0")</f>
        <v>0</v>
      </c>
      <c r="O28" s="1404"/>
      <c r="P28" s="1404"/>
      <c r="Q28" s="1366"/>
      <c r="R28" s="1402" t="s">
        <v>691</v>
      </c>
      <c r="S28" s="1403"/>
      <c r="T28" s="1399">
        <f>COUNTIF(T29:T35,"&gt;0")</f>
        <v>0</v>
      </c>
      <c r="U28" s="1398"/>
      <c r="V28" s="1399">
        <f>COUNTIF(V29:V35,"&gt;0")</f>
        <v>0</v>
      </c>
      <c r="W28" s="1398"/>
      <c r="X28" s="1399">
        <f>COUNTIF(X29:X35,"&gt;0")</f>
        <v>0</v>
      </c>
      <c r="Y28" s="1398"/>
      <c r="Z28" s="1399">
        <f>COUNTIF(Z29:Z35,"&gt;0")</f>
        <v>0</v>
      </c>
      <c r="AA28" s="1398"/>
      <c r="AB28" s="1399">
        <f>COUNTIF(AB29:AB35,"&gt;0")</f>
        <v>0</v>
      </c>
      <c r="AC28" s="1398"/>
      <c r="AD28" s="1399">
        <f>COUNTIF(AD29:AD30,"&gt;0")</f>
        <v>0</v>
      </c>
      <c r="AE28" s="1404"/>
      <c r="AF28" s="1405"/>
      <c r="AG28" s="386"/>
      <c r="AH28" s="386"/>
      <c r="AJ28" s="477"/>
      <c r="AK28" s="477"/>
      <c r="AL28" s="477"/>
      <c r="AM28" s="477"/>
      <c r="AN28" s="477"/>
      <c r="AO28" s="477"/>
      <c r="AP28" s="477"/>
      <c r="AQ28" s="477"/>
      <c r="AR28" s="386"/>
      <c r="AS28" s="386"/>
      <c r="AT28" s="386"/>
      <c r="AU28" s="386"/>
      <c r="AV28" s="386"/>
      <c r="AW28" s="386"/>
      <c r="AX28" s="386"/>
    </row>
    <row r="29" spans="1:52" ht="13.5" customHeight="1" x14ac:dyDescent="0.25">
      <c r="A29" s="396"/>
      <c r="B29" s="1406" t="s">
        <v>567</v>
      </c>
      <c r="C29" s="1407" t="str">
        <f>IF(DAY(Fév_Dim1)=1,"",IF(AND(YEAR(Fév_Dim1+1)=Année_Calendaire,MONTH(Fév_Dim1+1)=2),Fév_Dim1+1,""))</f>
        <v/>
      </c>
      <c r="D29" s="1728"/>
      <c r="E29" s="1408">
        <f>IF(DAY(Fév_Dim1)=1,IF(AND(YEAR(Fév_Dim1+1)=Année_Calendaire,MONTH(Fév_Dim1+1)=2),Fév_Dim1+1,""),IF(AND(YEAR(Fév_Dim1+8)=Année_Calendaire,MONTH(Fév_Dim1+8)=2),Fév_Dim1+8,""))</f>
        <v>43864</v>
      </c>
      <c r="F29" s="1728"/>
      <c r="G29" s="1409">
        <f>IF(DAY(Fév_Dim1)=1,IF(AND(YEAR(Fév_Dim1+8)=Année_Calendaire,MONTH(Fév_Dim1+8)=2),Fév_Dim1+8,""),IF(AND(YEAR(Fév_Dim1+15)=Année_Calendaire,MONTH(Fév_Dim1+15)=2),Fév_Dim1+15,""))</f>
        <v>43871</v>
      </c>
      <c r="H29" s="1728"/>
      <c r="I29" s="1409">
        <f>IF(DAY(Fév_Dim1)=1,IF(AND(YEAR(Fév_Dim1+15)=Année_Calendaire,MONTH(Fév_Dim1+15)=2),Fév_Dim1+15,""),IF(AND(YEAR(Fév_Dim1+22)=Année_Calendaire,MONTH(Fév_Dim1+22)=2),Fév_Dim1+22,""))</f>
        <v>43878</v>
      </c>
      <c r="J29" s="1728"/>
      <c r="K29" s="1409">
        <f>IF(DAY(Fév_Dim1)=1,IF(AND(YEAR(Fév_Dim1+22)=Année_Calendaire,MONTH(Fév_Dim1+22)=2),Fév_Dim1+22,""),IF(AND(YEAR(Fév_Dim1+29)=Année_Calendaire,MONTH(Fév_Dim1+29)=2),Fév_Dim1+29,""))</f>
        <v>43885</v>
      </c>
      <c r="L29" s="1728"/>
      <c r="M29" s="1409" t="str">
        <f>IF(DAY(Fév_Dim1)=1,IF(AND(YEAR(Fév_Dim1+29)=Année_Calendaire,MONTH(Fév_Dim1+29)=2),Fév_Dim1+29,""),IF(AND(YEAR(Fév_Dim1+36)=Année_Calendaire,MONTH(Fév_Dim1+36)=2),Fév_Dim1+36,""))</f>
        <v/>
      </c>
      <c r="N29" s="1728"/>
      <c r="O29" s="1410">
        <f>COUNTIF(C29:N35,P29)</f>
        <v>0</v>
      </c>
      <c r="P29" s="1411" t="s">
        <v>37</v>
      </c>
      <c r="Q29" s="1366"/>
      <c r="R29" s="1412" t="s">
        <v>567</v>
      </c>
      <c r="S29" s="1407" t="str">
        <f>IF(DAY(Mar_Dim1)=1,"",IF(AND(YEAR(Mar_Dim1+1)=Année_Calendaire,MONTH(Mar_Dim1+1)=3),Mar_Dim1+1,""))</f>
        <v/>
      </c>
      <c r="T29" s="1728"/>
      <c r="U29" s="1408">
        <f>IF(DAY(Mar_Dim1)=1,IF(AND(YEAR(Mar_Dim1+1)=Année_Calendaire,MONTH(Mar_Dim1+1)=3),Mar_Dim1+1,""),IF(AND(YEAR(Mar_Dim1+8)=Année_Calendaire,MONTH(Mar_Dim1+8)=3),Mar_Dim1+8,""))</f>
        <v>43892</v>
      </c>
      <c r="V29" s="1728"/>
      <c r="W29" s="1409">
        <f>IF(DAY(Mar_Dim1)=1,IF(AND(YEAR(Mar_Dim1+8)=Année_Calendaire,MONTH(Mar_Dim1+8)=3),Mar_Dim1+8,""),IF(AND(YEAR(Mar_Dim1+15)=Année_Calendaire,MONTH(Mar_Dim1+15)=3),Mar_Dim1+15,""))</f>
        <v>43899</v>
      </c>
      <c r="X29" s="1728"/>
      <c r="Y29" s="1409">
        <f>IF(DAY(Mar_Dim1)=1,IF(AND(YEAR(Mar_Dim1+15)=Année_Calendaire,MONTH(Mar_Dim1+15)=3),Mar_Dim1+15,""),IF(AND(YEAR(Mar_Dim1+22)=Année_Calendaire,MONTH(Mar_Dim1+22)=3),Mar_Dim1+22,""))</f>
        <v>43906</v>
      </c>
      <c r="Z29" s="1728"/>
      <c r="AA29" s="1409">
        <f>IF(DAY(Mar_Dim1)=1,IF(AND(YEAR(Mar_Dim1+22)=Année_Calendaire,MONTH(Mar_Dim1+22)=3),Mar_Dim1+22,""),IF(AND(YEAR(Mar_Dim1+29)=Année_Calendaire,MONTH(Mar_Dim1+29)=3),Mar_Dim1+29,""))</f>
        <v>43913</v>
      </c>
      <c r="AB29" s="1728"/>
      <c r="AC29" s="1409">
        <f>IF(DAY(Mar_Dim1)=1,IF(AND(YEAR(Mar_Dim1+29)=Année_Calendaire,MONTH(Mar_Dim1+29)=3),Mar_Dim1+29,""),IF(AND(YEAR(Mar_Dim1+36)=Année_Calendaire,MONTH(Mar_Dim1+36)=3),Mar_Dim1+36,""))</f>
        <v>43920</v>
      </c>
      <c r="AD29" s="1728"/>
      <c r="AE29" s="1410">
        <f>COUNTIF(S29:AD35,AF29)</f>
        <v>0</v>
      </c>
      <c r="AF29" s="1413" t="s">
        <v>37</v>
      </c>
      <c r="AG29" s="386"/>
      <c r="AH29" s="386"/>
      <c r="AI29" s="449" t="s">
        <v>37</v>
      </c>
      <c r="AJ29" s="478" t="s">
        <v>698</v>
      </c>
      <c r="AK29" s="477"/>
      <c r="AL29" s="477"/>
      <c r="AM29" s="477"/>
      <c r="AN29" s="477"/>
      <c r="AO29" s="477"/>
      <c r="AP29" s="477"/>
      <c r="AQ29" s="477"/>
      <c r="AR29" s="386"/>
      <c r="AS29" s="386"/>
      <c r="AT29" s="386"/>
      <c r="AU29" s="386"/>
      <c r="AV29" s="386"/>
      <c r="AW29" s="386"/>
      <c r="AX29" s="386"/>
    </row>
    <row r="30" spans="1:52" ht="13.5" customHeight="1" x14ac:dyDescent="0.25">
      <c r="B30" s="1414" t="s">
        <v>568</v>
      </c>
      <c r="C30" s="1415" t="str">
        <f>IF(DAY(Fév_Dim1)=1,"",IF(AND(YEAR(Fév_Dim1+2)=Année_Calendaire,MONTH(Fév_Dim1+2)=2),Fév_Dim1+2,""))</f>
        <v/>
      </c>
      <c r="D30" s="1728"/>
      <c r="E30" s="428">
        <f>IF(DAY(Fév_Dim1)=1,IF(AND(YEAR(Fév_Dim1+2)=Année_Calendaire,MONTH(Fév_Dim1+2)=2),Fév_Dim1+2,""),IF(AND(YEAR(Fév_Dim1+9)=Année_Calendaire,MONTH(Fév_Dim1+9)=2),Fév_Dim1+9,""))</f>
        <v>43865</v>
      </c>
      <c r="F30" s="1728">
        <v>0.3125</v>
      </c>
      <c r="G30" s="428">
        <f>IF(DAY(Fév_Dim1)=1,IF(AND(YEAR(Fév_Dim1+9)=Année_Calendaire,MONTH(Fév_Dim1+9)=2),Fév_Dim1+9,""),IF(AND(YEAR(Fév_Dim1+16)=Année_Calendaire,MONTH(Fév_Dim1+16)=2),Fév_Dim1+16,""))</f>
        <v>43872</v>
      </c>
      <c r="H30" s="1728"/>
      <c r="I30" s="428">
        <f>IF(DAY(Fév_Dim1)=1,IF(AND(YEAR(Fév_Dim1+16)=Année_Calendaire,MONTH(Fév_Dim1+16)=2),Fév_Dim1+16,""),IF(AND(YEAR(Fév_Dim1+23)=Année_Calendaire,MONTH(Fév_Dim1+23)=2),Fév_Dim1+23,""))</f>
        <v>43879</v>
      </c>
      <c r="J30" s="1728"/>
      <c r="K30" s="428">
        <f>IF(DAY(Fév_Dim1)=1,IF(AND(YEAR(Fév_Dim1+23)=Année_Calendaire,MONTH(Fév_Dim1+23)=2),Fév_Dim1+23,""),IF(AND(YEAR(Fév_Dim1+30)=Année_Calendaire,MONTH(Fév_Dim1+30)=2),Fév_Dim1+30,""))</f>
        <v>43886</v>
      </c>
      <c r="L30" s="1728"/>
      <c r="M30" s="429" t="str">
        <f>IF(DAY(Fév_Dim1)=1,IF(AND(YEAR(Fév_Dim1+30)=Année_Calendaire,MONTH(Fév_Dim1+30)=2),Fév_Dim1+30,""),IF(AND(YEAR(Fév_Dim1+37)=Année_Calendaire,MONTH(Fév_Dim1+37)=2),Fév_Dim1+37,""))</f>
        <v/>
      </c>
      <c r="N30" s="1728"/>
      <c r="O30" s="458">
        <f>COUNTIF(C29:N35,P30)</f>
        <v>0</v>
      </c>
      <c r="P30" s="459" t="s">
        <v>368</v>
      </c>
      <c r="Q30" s="1366"/>
      <c r="R30" s="427" t="s">
        <v>568</v>
      </c>
      <c r="S30" s="1415" t="str">
        <f>IF(DAY(Mar_Dim1)=1,"",IF(AND(YEAR(Mar_Dim1+2)=Année_Calendaire,MONTH(Mar_Dim1+2)=3),Mar_Dim1+2,""))</f>
        <v/>
      </c>
      <c r="T30" s="1728"/>
      <c r="U30" s="428">
        <f>IF(DAY(Mar_Dim1)=1,IF(AND(YEAR(Mar_Dim1+2)=Année_Calendaire,MONTH(Mar_Dim1+2)=3),Mar_Dim1+2,""),IF(AND(YEAR(Mar_Dim1+9)=Année_Calendaire,MONTH(Mar_Dim1+9)=3),Mar_Dim1+9,""))</f>
        <v>43893</v>
      </c>
      <c r="V30" s="1728"/>
      <c r="W30" s="428">
        <f>IF(DAY(Mar_Dim1)=1,IF(AND(YEAR(Mar_Dim1+9)=Année_Calendaire,MONTH(Mar_Dim1+9)=3),Mar_Dim1+9,""),IF(AND(YEAR(Mar_Dim1+16)=Année_Calendaire,MONTH(Mar_Dim1+16)=3),Mar_Dim1+16,""))</f>
        <v>43900</v>
      </c>
      <c r="X30" s="1728"/>
      <c r="Y30" s="428">
        <f>IF(DAY(Mar_Dim1)=1,IF(AND(YEAR(Mar_Dim1+16)=Année_Calendaire,MONTH(Mar_Dim1+16)=3),Mar_Dim1+16,""),IF(AND(YEAR(Mar_Dim1+23)=Année_Calendaire,MONTH(Mar_Dim1+23)=3),Mar_Dim1+23,""))</f>
        <v>43907</v>
      </c>
      <c r="Z30" s="1728"/>
      <c r="AA30" s="428">
        <f>IF(DAY(Mar_Dim1)=1,IF(AND(YEAR(Mar_Dim1+23)=Année_Calendaire,MONTH(Mar_Dim1+23)=3),Mar_Dim1+23,""),IF(AND(YEAR(Mar_Dim1+30)=Année_Calendaire,MONTH(Mar_Dim1+30)=3),Mar_Dim1+30,""))</f>
        <v>43914</v>
      </c>
      <c r="AB30" s="1728"/>
      <c r="AC30" s="429">
        <f>IF(DAY(Mar_Dim1)=1,IF(AND(YEAR(Mar_Dim1+30)=Année_Calendaire,MONTH(Mar_Dim1+30)=3),Mar_Dim1+30,""),IF(AND(YEAR(Mar_Dim1+37)=Année_Calendaire,MONTH(Mar_Dim1+37)=3),Mar_Dim1+37,""))</f>
        <v>43921</v>
      </c>
      <c r="AD30" s="1728"/>
      <c r="AE30" s="458">
        <f>COUNTIF(S29:AD35,AF30)</f>
        <v>0</v>
      </c>
      <c r="AF30" s="1416" t="s">
        <v>368</v>
      </c>
      <c r="AG30" s="386"/>
      <c r="AH30" s="386"/>
      <c r="AI30" s="450" t="s">
        <v>368</v>
      </c>
      <c r="AJ30" s="478" t="s">
        <v>369</v>
      </c>
      <c r="AK30" s="477"/>
      <c r="AL30" s="477"/>
      <c r="AM30" s="477"/>
      <c r="AN30" s="477"/>
      <c r="AO30" s="477"/>
      <c r="AP30" s="477"/>
      <c r="AQ30" s="477"/>
      <c r="AR30" s="386"/>
      <c r="AS30" s="386"/>
      <c r="AT30" s="386"/>
      <c r="AU30" s="386"/>
      <c r="AV30" s="386"/>
      <c r="AW30" s="386"/>
      <c r="AX30" s="386"/>
    </row>
    <row r="31" spans="1:52" ht="13.5" customHeight="1" x14ac:dyDescent="0.25">
      <c r="B31" s="1414" t="s">
        <v>569</v>
      </c>
      <c r="C31" s="1415" t="str">
        <f>IF(DAY(Fév_Dim1)=1,"",IF(AND(YEAR(Fév_Dim1+3)=Année_Calendaire,MONTH(Fév_Dim1+3)=2),Fév_Dim1+3,""))</f>
        <v/>
      </c>
      <c r="D31" s="1728"/>
      <c r="E31" s="428">
        <f>IF(DAY(Fév_Dim1)=1,IF(AND(YEAR(Fév_Dim1+3)=Année_Calendaire,MONTH(Fév_Dim1+3)=2),Fév_Dim1+3,""),IF(AND(YEAR(Fév_Dim1+10)=Année_Calendaire,MONTH(Fév_Dim1+10)=2),Fév_Dim1+10,""))</f>
        <v>43866</v>
      </c>
      <c r="F31" s="1728"/>
      <c r="G31" s="428">
        <f>IF(DAY(Fév_Dim1)=1,IF(AND(YEAR(Fév_Dim1+10)=Année_Calendaire,MONTH(Fév_Dim1+10)=2),Fév_Dim1+10,""),IF(AND(YEAR(Fév_Dim1+17)=Année_Calendaire,MONTH(Fév_Dim1+17)=2),Fév_Dim1+17,""))</f>
        <v>43873</v>
      </c>
      <c r="H31" s="1728"/>
      <c r="I31" s="428">
        <f>IF(DAY(Fév_Dim1)=1,IF(AND(YEAR(Fév_Dim1+17)=Année_Calendaire,MONTH(Fév_Dim1+17)=2),Fév_Dim1+17,""),IF(AND(YEAR(Fév_Dim1+24)=Année_Calendaire,MONTH(Fév_Dim1+24)=2),Fév_Dim1+24,""))</f>
        <v>43880</v>
      </c>
      <c r="J31" s="1728"/>
      <c r="K31" s="428">
        <f>IF(DAY(Fév_Dim1)=1,IF(AND(YEAR(Fév_Dim1+24)=Année_Calendaire,MONTH(Fév_Dim1+24)=2),Fév_Dim1+24,""),IF(AND(YEAR(Fév_Dim1+31)=Année_Calendaire,MONTH(Fév_Dim1+31)=2),Fév_Dim1+31,""))</f>
        <v>43887</v>
      </c>
      <c r="L31" s="1728"/>
      <c r="M31" s="1417" t="s">
        <v>685</v>
      </c>
      <c r="N31" s="1418"/>
      <c r="O31" s="460">
        <f>COUNTIF(C29:N35,P31)</f>
        <v>0</v>
      </c>
      <c r="P31" s="461" t="s">
        <v>7</v>
      </c>
      <c r="Q31" s="1366"/>
      <c r="R31" s="427" t="s">
        <v>569</v>
      </c>
      <c r="S31" s="1415" t="str">
        <f>IF(DAY(Mar_Dim1)=1,"",IF(AND(YEAR(Mar_Dim1+3)=Année_Calendaire,MONTH(Mar_Dim1+3)=3),Mar_Dim1+3,""))</f>
        <v/>
      </c>
      <c r="T31" s="1728"/>
      <c r="U31" s="428">
        <f>IF(DAY(Mar_Dim1)=1,IF(AND(YEAR(Mar_Dim1+3)=Année_Calendaire,MONTH(Mar_Dim1+3)=3),Mar_Dim1+3,""),IF(AND(YEAR(Mar_Dim1+10)=Année_Calendaire,MONTH(Mar_Dim1+10)=3),Mar_Dim1+10,""))</f>
        <v>43894</v>
      </c>
      <c r="V31" s="1728"/>
      <c r="W31" s="428">
        <f>IF(DAY(Mar_Dim1)=1,IF(AND(YEAR(Mar_Dim1+10)=Année_Calendaire,MONTH(Mar_Dim1+10)=3),Mar_Dim1+10,""),IF(AND(YEAR(Mar_Dim1+17)=Année_Calendaire,MONTH(Mar_Dim1+17)=3),Mar_Dim1+17,""))</f>
        <v>43901</v>
      </c>
      <c r="X31" s="1728"/>
      <c r="Y31" s="428">
        <f>IF(DAY(Mar_Dim1)=1,IF(AND(YEAR(Mar_Dim1+17)=Année_Calendaire,MONTH(Mar_Dim1+17)=3),Mar_Dim1+17,""),IF(AND(YEAR(Mar_Dim1+24)=Année_Calendaire,MONTH(Mar_Dim1+24)=3),Mar_Dim1+24,""))</f>
        <v>43908</v>
      </c>
      <c r="Z31" s="1728"/>
      <c r="AA31" s="428">
        <f>IF(DAY(Mar_Dim1)=1,IF(AND(YEAR(Mar_Dim1+24)=Année_Calendaire,MONTH(Mar_Dim1+24)=3),Mar_Dim1+24,""),IF(AND(YEAR(Mar_Dim1+31)=Année_Calendaire,MONTH(Mar_Dim1+31)=3),Mar_Dim1+31,""))</f>
        <v>43915</v>
      </c>
      <c r="AB31" s="1728"/>
      <c r="AC31" s="1417" t="s">
        <v>685</v>
      </c>
      <c r="AD31" s="1418"/>
      <c r="AE31" s="460">
        <f>COUNTIF(S29:AD35,AF31)</f>
        <v>0</v>
      </c>
      <c r="AF31" s="1419" t="s">
        <v>7</v>
      </c>
      <c r="AG31" s="386"/>
      <c r="AH31" s="386"/>
      <c r="AI31" s="451" t="s">
        <v>7</v>
      </c>
      <c r="AJ31" s="478" t="s">
        <v>699</v>
      </c>
      <c r="AK31" s="477"/>
      <c r="AL31" s="477"/>
      <c r="AM31" s="477"/>
      <c r="AN31" s="477"/>
      <c r="AO31" s="477"/>
      <c r="AP31" s="477"/>
      <c r="AQ31" s="477"/>
      <c r="AR31" s="386"/>
      <c r="AS31" s="386"/>
      <c r="AT31" s="386"/>
      <c r="AU31" s="386"/>
      <c r="AV31" s="386"/>
      <c r="AW31" s="386"/>
      <c r="AX31" s="386"/>
    </row>
    <row r="32" spans="1:52" s="371" customFormat="1" ht="13.5" customHeight="1" x14ac:dyDescent="0.25">
      <c r="A32" s="355"/>
      <c r="B32" s="1414" t="s">
        <v>556</v>
      </c>
      <c r="C32" s="1415" t="str">
        <f>IF(DAY(Fév_Dim1)=1,"",IF(AND(YEAR(Fév_Dim1+4)=Année_Calendaire,MONTH(Fév_Dim1+4)=2),Fév_Dim1+4,""))</f>
        <v/>
      </c>
      <c r="D32" s="1728"/>
      <c r="E32" s="428">
        <f>IF(DAY(Fév_Dim1)=1,IF(AND(YEAR(Fév_Dim1+4)=Année_Calendaire,MONTH(Fév_Dim1+4)=2),Fév_Dim1+4,""),IF(AND(YEAR(Fév_Dim1+11)=Année_Calendaire,MONTH(Fév_Dim1+11)=2),Fév_Dim1+11,""))</f>
        <v>43867</v>
      </c>
      <c r="F32" s="1728"/>
      <c r="G32" s="428">
        <f>IF(DAY(Fév_Dim1)=1,IF(AND(YEAR(Fév_Dim1+11)=Année_Calendaire,MONTH(Fév_Dim1+11)=2),Fév_Dim1+11,""),IF(AND(YEAR(Fév_Dim1+18)=Année_Calendaire,MONTH(Fév_Dim1+18)=2),Fév_Dim1+18,""))</f>
        <v>43874</v>
      </c>
      <c r="H32" s="1728"/>
      <c r="I32" s="428">
        <f>IF(DAY(Fév_Dim1)=1,IF(AND(YEAR(Fév_Dim1+18)=Année_Calendaire,MONTH(Fév_Dim1+18)=2),Fév_Dim1+18,""),IF(AND(YEAR(Fév_Dim1+25)=Année_Calendaire,MONTH(Fév_Dim1+25)=2),Fév_Dim1+25,""))</f>
        <v>43881</v>
      </c>
      <c r="J32" s="1728"/>
      <c r="K32" s="428">
        <f>IF(DAY(Fév_Dim1)=1,IF(AND(YEAR(Fév_Dim1+25)=Année_Calendaire,MONTH(Fév_Dim1+25)=2),Fév_Dim1+25,""),IF(AND(YEAR(Fév_Dim1+32)=Année_Calendaire,MONTH(Fév_Dim1+32)=2),Fév_Dim1+32,""))</f>
        <v>43888</v>
      </c>
      <c r="L32" s="1728"/>
      <c r="M32" s="1628">
        <f>SUM(D29:D35,F29:F35,H29:H35,J29:J35,L29:L35,N29:N30)</f>
        <v>0.3125</v>
      </c>
      <c r="N32" s="1629"/>
      <c r="O32" s="462">
        <f>COUNTIF(C29:N35,P32)</f>
        <v>0</v>
      </c>
      <c r="P32" s="463" t="s">
        <v>373</v>
      </c>
      <c r="Q32" s="1366"/>
      <c r="R32" s="427" t="s">
        <v>556</v>
      </c>
      <c r="S32" s="1415" t="str">
        <f>IF(DAY(Mar_Dim1)=1,"",IF(AND(YEAR(Mar_Dim1+4)=Année_Calendaire,MONTH(Mar_Dim1+4)=3),Mar_Dim1+4,""))</f>
        <v/>
      </c>
      <c r="T32" s="1728"/>
      <c r="U32" s="428">
        <f>IF(DAY(Mar_Dim1)=1,IF(AND(YEAR(Mar_Dim1+4)=Année_Calendaire,MONTH(Mar_Dim1+4)=3),Mar_Dim1+4,""),IF(AND(YEAR(Mar_Dim1+11)=Année_Calendaire,MONTH(Mar_Dim1+11)=3),Mar_Dim1+11,""))</f>
        <v>43895</v>
      </c>
      <c r="V32" s="1728"/>
      <c r="W32" s="428">
        <f>IF(DAY(Mar_Dim1)=1,IF(AND(YEAR(Mar_Dim1+11)=Année_Calendaire,MONTH(Mar_Dim1+11)=3),Mar_Dim1+11,""),IF(AND(YEAR(Mar_Dim1+18)=Année_Calendaire,MONTH(Mar_Dim1+18)=3),Mar_Dim1+18,""))</f>
        <v>43902</v>
      </c>
      <c r="X32" s="1728"/>
      <c r="Y32" s="428">
        <f>IF(DAY(Mar_Dim1)=1,IF(AND(YEAR(Mar_Dim1+18)=Année_Calendaire,MONTH(Mar_Dim1+18)=3),Mar_Dim1+18,""),IF(AND(YEAR(Mar_Dim1+25)=Année_Calendaire,MONTH(Mar_Dim1+25)=3),Mar_Dim1+25,""))</f>
        <v>43909</v>
      </c>
      <c r="Z32" s="1728"/>
      <c r="AA32" s="428">
        <f>IF(DAY(Mar_Dim1)=1,IF(AND(YEAR(Mar_Dim1+25)=Année_Calendaire,MONTH(Mar_Dim1+25)=3),Mar_Dim1+25,""),IF(AND(YEAR(Mar_Dim1+32)=Année_Calendaire,MONTH(Mar_Dim1+32)=3),Mar_Dim1+32,""))</f>
        <v>43916</v>
      </c>
      <c r="AB32" s="1728"/>
      <c r="AC32" s="1628">
        <f>SUM(T29:T35,V29:V35,X29:X35,Z29:Z35,AB29:AB35,AD29:AD30)</f>
        <v>0</v>
      </c>
      <c r="AD32" s="1629"/>
      <c r="AE32" s="462">
        <f>COUNTIF(S29:AD35,AF32)</f>
        <v>0</v>
      </c>
      <c r="AF32" s="1421" t="s">
        <v>373</v>
      </c>
      <c r="AG32" s="386"/>
      <c r="AH32" s="386"/>
      <c r="AI32" s="452" t="s">
        <v>373</v>
      </c>
      <c r="AJ32" s="478" t="s">
        <v>700</v>
      </c>
      <c r="AK32" s="477"/>
      <c r="AL32" s="477"/>
      <c r="AM32" s="477"/>
      <c r="AN32" s="477"/>
      <c r="AO32" s="477"/>
      <c r="AP32" s="477"/>
      <c r="AQ32" s="477"/>
      <c r="AR32" s="386"/>
      <c r="AS32" s="387"/>
      <c r="AT32" s="387"/>
      <c r="AU32" s="387"/>
      <c r="AV32" s="386"/>
      <c r="AW32" s="387"/>
      <c r="AX32" s="387"/>
      <c r="AZ32" s="394"/>
    </row>
    <row r="33" spans="1:52" s="371" customFormat="1" ht="13.5" customHeight="1" x14ac:dyDescent="0.25">
      <c r="A33" s="396"/>
      <c r="B33" s="1414" t="s">
        <v>570</v>
      </c>
      <c r="C33" s="1415" t="str">
        <f>IF(DAY(Fév_Dim1)=1,"",IF(AND(YEAR(Fév_Dim1+5)=Année_Calendaire,MONTH(Fév_Dim1+5)=2),Fév_Dim1+5,""))</f>
        <v/>
      </c>
      <c r="D33" s="1728"/>
      <c r="E33" s="428">
        <f>IF(DAY(Fév_Dim1)=1,IF(AND(YEAR(Fév_Dim1+5)=Année_Calendaire,MONTH(Fév_Dim1+5)=2),Fév_Dim1+5,""),IF(AND(YEAR(Fév_Dim1+12)=Année_Calendaire,MONTH(Fév_Dim1+12)=2),Fév_Dim1+12,""))</f>
        <v>43868</v>
      </c>
      <c r="F33" s="1728"/>
      <c r="G33" s="428">
        <f>IF(DAY(Fév_Dim1)=1,IF(AND(YEAR(Fév_Dim1+12)=Année_Calendaire,MONTH(Fév_Dim1+12)=2),Fév_Dim1+12,""),IF(AND(YEAR(Fév_Dim1+19)=Année_Calendaire,MONTH(Fév_Dim1+19)=2),Fév_Dim1+19,""))</f>
        <v>43875</v>
      </c>
      <c r="H33" s="1728"/>
      <c r="I33" s="428">
        <f>IF(DAY(Fév_Dim1)=1,IF(AND(YEAR(Fév_Dim1+19)=Année_Calendaire,MONTH(Fév_Dim1+19)=2),Fév_Dim1+19,""),IF(AND(YEAR(Fév_Dim1+26)=Année_Calendaire,MONTH(Fév_Dim1+26)=2),Fév_Dim1+26,""))</f>
        <v>43882</v>
      </c>
      <c r="J33" s="1728"/>
      <c r="K33" s="428">
        <f>IF(DAY(Fév_Dim1)=1,IF(AND(YEAR(Fév_Dim1+26)=Année_Calendaire,MONTH(Fév_Dim1+26)=2),Fév_Dim1+26,""),IF(AND(YEAR(Fév_Dim1+33)=Année_Calendaire,MONTH(Fév_Dim1+33)=2),Fév_Dim1+33,""))</f>
        <v>43889</v>
      </c>
      <c r="L33" s="1728"/>
      <c r="M33" s="433">
        <f>SUM(D28:N28)</f>
        <v>1</v>
      </c>
      <c r="N33" s="434" t="s">
        <v>387</v>
      </c>
      <c r="O33" s="464">
        <f>COUNTIF(C29:N35,P33)</f>
        <v>0</v>
      </c>
      <c r="P33" s="465" t="s">
        <v>8</v>
      </c>
      <c r="Q33" s="1366"/>
      <c r="R33" s="427" t="s">
        <v>570</v>
      </c>
      <c r="S33" s="1415" t="str">
        <f>IF(DAY(Mar_Dim1)=1,"",IF(AND(YEAR(Mar_Dim1+5)=Année_Calendaire,MONTH(Mar_Dim1+5)=3),Mar_Dim1+5,""))</f>
        <v/>
      </c>
      <c r="T33" s="1728"/>
      <c r="U33" s="428">
        <f>IF(DAY(Mar_Dim1)=1,IF(AND(YEAR(Mar_Dim1+5)=Année_Calendaire,MONTH(Mar_Dim1+5)=3),Mar_Dim1+5,""),IF(AND(YEAR(Mar_Dim1+12)=Année_Calendaire,MONTH(Mar_Dim1+12)=3),Mar_Dim1+12,""))</f>
        <v>43896</v>
      </c>
      <c r="V33" s="1728"/>
      <c r="W33" s="428">
        <f>IF(DAY(Mar_Dim1)=1,IF(AND(YEAR(Mar_Dim1+12)=Année_Calendaire,MONTH(Mar_Dim1+12)=3),Mar_Dim1+12,""),IF(AND(YEAR(Mar_Dim1+19)=Année_Calendaire,MONTH(Mar_Dim1+19)=3),Mar_Dim1+19,""))</f>
        <v>43903</v>
      </c>
      <c r="X33" s="1728"/>
      <c r="Y33" s="428">
        <f>IF(DAY(Mar_Dim1)=1,IF(AND(YEAR(Mar_Dim1+19)=Année_Calendaire,MONTH(Mar_Dim1+19)=3),Mar_Dim1+19,""),IF(AND(YEAR(Mar_Dim1+26)=Année_Calendaire,MONTH(Mar_Dim1+26)=3),Mar_Dim1+26,""))</f>
        <v>43910</v>
      </c>
      <c r="Z33" s="1728"/>
      <c r="AA33" s="428">
        <f>IF(DAY(Mar_Dim1)=1,IF(AND(YEAR(Mar_Dim1+26)=Année_Calendaire,MONTH(Mar_Dim1+26)=3),Mar_Dim1+26,""),IF(AND(YEAR(Mar_Dim1+33)=Année_Calendaire,MONTH(Mar_Dim1+33)=3),Mar_Dim1+33,""))</f>
        <v>43917</v>
      </c>
      <c r="AB33" s="1728"/>
      <c r="AC33" s="433">
        <f>SUM(T28:AD28)</f>
        <v>0</v>
      </c>
      <c r="AD33" s="434" t="s">
        <v>387</v>
      </c>
      <c r="AE33" s="464">
        <f>COUNTIF(S29:AD35,AF33)</f>
        <v>0</v>
      </c>
      <c r="AF33" s="1422" t="s">
        <v>8</v>
      </c>
      <c r="AG33" s="386"/>
      <c r="AH33" s="386"/>
      <c r="AI33" s="453" t="s">
        <v>8</v>
      </c>
      <c r="AJ33" s="478" t="s">
        <v>701</v>
      </c>
      <c r="AK33" s="477"/>
      <c r="AL33" s="477"/>
      <c r="AM33" s="477"/>
      <c r="AN33" s="477"/>
      <c r="AO33" s="477"/>
      <c r="AP33" s="477"/>
      <c r="AQ33" s="477"/>
      <c r="AR33" s="386"/>
      <c r="AS33" s="387"/>
      <c r="AT33" s="387"/>
      <c r="AU33" s="387"/>
      <c r="AV33" s="387"/>
      <c r="AW33" s="387"/>
      <c r="AX33" s="387"/>
      <c r="AZ33" s="394"/>
    </row>
    <row r="34" spans="1:52" ht="13.5" customHeight="1" x14ac:dyDescent="0.25">
      <c r="A34" s="396"/>
      <c r="B34" s="1423" t="s">
        <v>571</v>
      </c>
      <c r="C34" s="1424">
        <f>IF(DAY(Fév_Dim1)=1,"",IF(AND(YEAR(Fév_Dim1+6)=Année_Calendaire,MONTH(Fév_Dim1+6)=2),Fév_Dim1+6,""))</f>
        <v>43862</v>
      </c>
      <c r="D34" s="1728"/>
      <c r="E34" s="437">
        <f>IF(DAY(Fév_Dim1)=1,IF(AND(YEAR(Fév_Dim1+6)=Année_Calendaire,MONTH(Fév_Dim1+6)=2),Fév_Dim1+6,""),IF(AND(YEAR(Fév_Dim1+13)=Année_Calendaire,MONTH(Fév_Dim1+13)=2),Fév_Dim1+13,""))</f>
        <v>43869</v>
      </c>
      <c r="F34" s="1728"/>
      <c r="G34" s="437">
        <f>IF(DAY(Fév_Dim1)=1,IF(AND(YEAR(Fév_Dim1+13)=Année_Calendaire,MONTH(Fév_Dim1+13)=2),Fév_Dim1+13,""),IF(AND(YEAR(Fév_Dim1+20)=Année_Calendaire,MONTH(Fév_Dim1+20)=2),Fév_Dim1+20,""))</f>
        <v>43876</v>
      </c>
      <c r="H34" s="1728"/>
      <c r="I34" s="437">
        <f>IF(DAY(Fév_Dim1)=1,IF(AND(YEAR(Fév_Dim1+20)=Année_Calendaire,MONTH(Fév_Dim1+20)=2),Fév_Dim1+20,""),IF(AND(YEAR(Fév_Dim1+27)=Année_Calendaire,MONTH(Fév_Dim1+27)=2),Fév_Dim1+27,""))</f>
        <v>43883</v>
      </c>
      <c r="J34" s="1728"/>
      <c r="K34" s="437">
        <f>IF(DAY(Fév_Dim1)=1,IF(AND(YEAR(Fév_Dim1+27)=Année_Calendaire,MONTH(Fév_Dim1+27)=2),Fév_Dim1+27,""),IF(AND(YEAR(Fév_Dim1+34)=Année_Calendaire,MONTH(Fév_Dim1+34)=2),Fév_Dim1+34,""))</f>
        <v>43890</v>
      </c>
      <c r="L34" s="1728"/>
      <c r="M34" s="438" t="s">
        <v>686</v>
      </c>
      <c r="N34" s="439"/>
      <c r="O34" s="466">
        <f>COUNTIF(C29:N35,P34)</f>
        <v>0</v>
      </c>
      <c r="P34" s="467" t="s">
        <v>356</v>
      </c>
      <c r="Q34" s="1366"/>
      <c r="R34" s="436" t="s">
        <v>571</v>
      </c>
      <c r="S34" s="1424" t="str">
        <f>IF(DAY(Mar_Dim1)=1,"",IF(AND(YEAR(Mar_Dim1+6)=Année_Calendaire,MONTH(Mar_Dim1+6)=3),Mar_Dim1+6,""))</f>
        <v/>
      </c>
      <c r="T34" s="1728"/>
      <c r="U34" s="437">
        <f>IF(DAY(Mar_Dim1)=1,IF(AND(YEAR(Mar_Dim1+6)=Année_Calendaire,MONTH(Mar_Dim1+6)=3),Mar_Dim1+6,""),IF(AND(YEAR(Mar_Dim1+13)=Année_Calendaire,MONTH(Mar_Dim1+13)=3),Mar_Dim1+13,""))</f>
        <v>43897</v>
      </c>
      <c r="V34" s="1728"/>
      <c r="W34" s="437">
        <f>IF(DAY(Mar_Dim1)=1,IF(AND(YEAR(Mar_Dim1+13)=Année_Calendaire,MONTH(Mar_Dim1+13)=3),Mar_Dim1+13,""),IF(AND(YEAR(Mar_Dim1+20)=Année_Calendaire,MONTH(Mar_Dim1+20)=3),Mar_Dim1+20,""))</f>
        <v>43904</v>
      </c>
      <c r="X34" s="1728"/>
      <c r="Y34" s="437">
        <f>IF(DAY(Mar_Dim1)=1,IF(AND(YEAR(Mar_Dim1+20)=Année_Calendaire,MONTH(Mar_Dim1+20)=3),Mar_Dim1+20,""),IF(AND(YEAR(Mar_Dim1+27)=Année_Calendaire,MONTH(Mar_Dim1+27)=3),Mar_Dim1+27,""))</f>
        <v>43911</v>
      </c>
      <c r="Z34" s="1728"/>
      <c r="AA34" s="437">
        <f>IF(DAY(Mar_Dim1)=1,IF(AND(YEAR(Mar_Dim1+27)=Année_Calendaire,MONTH(Mar_Dim1+27)=3),Mar_Dim1+27,""),IF(AND(YEAR(Mar_Dim1+34)=Année_Calendaire,MONTH(Mar_Dim1+34)=3),Mar_Dim1+34,""))</f>
        <v>43918</v>
      </c>
      <c r="AB34" s="1728"/>
      <c r="AC34" s="438" t="s">
        <v>686</v>
      </c>
      <c r="AD34" s="439"/>
      <c r="AE34" s="466">
        <f>COUNTIF(S29:AD35,AF34)</f>
        <v>0</v>
      </c>
      <c r="AF34" s="1425" t="s">
        <v>356</v>
      </c>
      <c r="AG34" s="387"/>
      <c r="AH34" s="387"/>
      <c r="AI34" s="454" t="s">
        <v>356</v>
      </c>
      <c r="AJ34" s="478" t="s">
        <v>702</v>
      </c>
      <c r="AK34" s="477"/>
      <c r="AL34" s="477"/>
      <c r="AM34" s="477"/>
      <c r="AN34" s="477"/>
      <c r="AO34" s="477"/>
      <c r="AP34" s="477"/>
      <c r="AQ34" s="477"/>
      <c r="AR34" s="386"/>
      <c r="AS34" s="386"/>
      <c r="AT34" s="386"/>
      <c r="AU34" s="386"/>
      <c r="AV34" s="386"/>
      <c r="AW34" s="386"/>
      <c r="AX34" s="386"/>
    </row>
    <row r="35" spans="1:52" ht="13.5" customHeight="1" x14ac:dyDescent="0.25">
      <c r="A35" s="396"/>
      <c r="B35" s="1426" t="s">
        <v>572</v>
      </c>
      <c r="C35" s="1427">
        <f>IF(DAY(Fév_Dim1)=1,IF(AND(YEAR(Fév_Dim1)=Année_Calendaire,MONTH(Fév_Dim1)=2),Fév_Dim1,""),IF(AND(YEAR(Fév_Dim1+7)=Année_Calendaire,MONTH(Fév_Dim1+7)=2),Fév_Dim1+7,""))</f>
        <v>43863</v>
      </c>
      <c r="D35" s="1728"/>
      <c r="E35" s="442">
        <f>IF(DAY(Fév_Dim1)=1,IF(AND(YEAR(Fév_Dim1+7)=Année_Calendaire,MONTH(Fév_Dim1+7)=2),Fév_Dim1+7,""),IF(AND(YEAR(Fév_Dim1+14)=Année_Calendaire,MONTH(Fév_Dim1+14)=2),Fév_Dim1+14,""))</f>
        <v>43870</v>
      </c>
      <c r="F35" s="1728"/>
      <c r="G35" s="442">
        <f>IF(DAY(Fév_Dim1)=1,IF(AND(YEAR(Fév_Dim1+14)=Année_Calendaire,MONTH(Fév_Dim1+14)=2),Fév_Dim1+14,""),IF(AND(YEAR(Fév_Dim1+21)=Année_Calendaire,MONTH(Fév_Dim1+21)=2),Fév_Dim1+21,""))</f>
        <v>43877</v>
      </c>
      <c r="H35" s="1728"/>
      <c r="I35" s="442">
        <f>IF(DAY(Fév_Dim1)=1,IF(AND(YEAR(Fév_Dim1+21)=Année_Calendaire,MONTH(Fév_Dim1+21)=2),Fév_Dim1+21,""),IF(AND(YEAR(Fév_Dim1+28)=Année_Calendaire,MONTH(Fév_Dim1+28)=2),Fév_Dim1+28,""))</f>
        <v>43884</v>
      </c>
      <c r="J35" s="1728"/>
      <c r="K35" s="442" t="str">
        <f>IF(DAY(Fév_Dim1)=1,IF(AND(YEAR(Fév_Dim1+28)=Année_Calendaire,MONTH(Fév_Dim1+28)=2),Fév_Dim1+28,""),IF(AND(YEAR(Fév_Dim1+35)=Année_Calendaire,MONTH(Fév_Dim1+35)=2),Fév_Dim1+35,""))</f>
        <v/>
      </c>
      <c r="L35" s="1728"/>
      <c r="M35" s="1630">
        <f>IF(M32=0,0,M32/M33)</f>
        <v>0.3125</v>
      </c>
      <c r="N35" s="1633"/>
      <c r="O35" s="468">
        <f>COUNTIF(C29:N35,P35)</f>
        <v>0</v>
      </c>
      <c r="P35" s="1428" t="s">
        <v>358</v>
      </c>
      <c r="Q35" s="1366"/>
      <c r="R35" s="441" t="s">
        <v>572</v>
      </c>
      <c r="S35" s="1427">
        <f>IF(DAY(Mar_Dim1)=1,IF(AND(YEAR(Mar_Dim1)=Année_Calendaire,MONTH(Mar_Dim1)=3),Mar_Dim1,""),IF(AND(YEAR(Mar_Dim1+7)=Année_Calendaire,MONTH(Mar_Dim1+7)=3),Mar_Dim1+7,""))</f>
        <v>43891</v>
      </c>
      <c r="T35" s="1728"/>
      <c r="U35" s="442">
        <f>IF(DAY(Mar_Dim1)=1,IF(AND(YEAR(Mar_Dim1+7)=Année_Calendaire,MONTH(Mar_Dim1+7)=3),Mar_Dim1+7,""),IF(AND(YEAR(Mar_Dim1+14)=Année_Calendaire,MONTH(Mar_Dim1+14)=3),Mar_Dim1+14,""))</f>
        <v>43898</v>
      </c>
      <c r="V35" s="1728"/>
      <c r="W35" s="442">
        <f>IF(DAY(Mar_Dim1)=1,IF(AND(YEAR(Mar_Dim1+14)=Année_Calendaire,MONTH(Mar_Dim1+14)=3),Mar_Dim1+14,""),IF(AND(YEAR(Mar_Dim1+21)=Année_Calendaire,MONTH(Mar_Dim1+21)=3),Mar_Dim1+21,""))</f>
        <v>43905</v>
      </c>
      <c r="X35" s="1728"/>
      <c r="Y35" s="442">
        <f>IF(DAY(Mar_Dim1)=1,IF(AND(YEAR(Mar_Dim1+21)=Année_Calendaire,MONTH(Mar_Dim1+21)=3),Mar_Dim1+21,""),IF(AND(YEAR(Mar_Dim1+28)=Année_Calendaire,MONTH(Mar_Dim1+28)=3),Mar_Dim1+28,""))</f>
        <v>43912</v>
      </c>
      <c r="Z35" s="1728"/>
      <c r="AA35" s="442">
        <f>IF(DAY(Mar_Dim1)=1,IF(AND(YEAR(Mar_Dim1+28)=Année_Calendaire,MONTH(Mar_Dim1+28)=3),Mar_Dim1+28,""),IF(AND(YEAR(Mar_Dim1+35)=Année_Calendaire,MONTH(Mar_Dim1+35)=3),Mar_Dim1+35,""))</f>
        <v>43919</v>
      </c>
      <c r="AB35" s="1728"/>
      <c r="AC35" s="1630">
        <f>IF(AC32=0,0,AC32/AC33)</f>
        <v>0</v>
      </c>
      <c r="AD35" s="1633"/>
      <c r="AE35" s="468">
        <f>COUNTIF(S29:AD35,AF35)</f>
        <v>0</v>
      </c>
      <c r="AF35" s="1429" t="s">
        <v>358</v>
      </c>
      <c r="AG35" s="387"/>
      <c r="AH35" s="387"/>
      <c r="AI35" s="455" t="s">
        <v>358</v>
      </c>
      <c r="AJ35" s="478" t="s">
        <v>703</v>
      </c>
      <c r="AK35" s="477"/>
      <c r="AL35" s="477"/>
      <c r="AM35" s="477"/>
      <c r="AN35" s="477"/>
      <c r="AO35" s="477"/>
      <c r="AP35" s="477"/>
      <c r="AQ35" s="477"/>
      <c r="AR35" s="477"/>
      <c r="AS35" s="477"/>
      <c r="AT35" s="477"/>
      <c r="AU35" s="386"/>
      <c r="AV35" s="386"/>
      <c r="AW35" s="386"/>
      <c r="AX35" s="386"/>
    </row>
    <row r="36" spans="1:52" ht="13.5" customHeight="1" x14ac:dyDescent="0.25">
      <c r="A36" s="396"/>
      <c r="B36" s="1430" t="s">
        <v>696</v>
      </c>
      <c r="C36" s="1636">
        <f>SUM(D29:D35)</f>
        <v>0</v>
      </c>
      <c r="D36" s="1613"/>
      <c r="E36" s="1612">
        <f>SUM(F29:F35)</f>
        <v>0.3125</v>
      </c>
      <c r="F36" s="1613"/>
      <c r="G36" s="1612">
        <f>SUM(H29:H35)</f>
        <v>0</v>
      </c>
      <c r="H36" s="1613"/>
      <c r="I36" s="1612">
        <f>SUM(J29:J35)</f>
        <v>0</v>
      </c>
      <c r="J36" s="1613"/>
      <c r="K36" s="1612">
        <f>SUM(L29:L35)</f>
        <v>0</v>
      </c>
      <c r="L36" s="1613"/>
      <c r="M36" s="1612">
        <f>SUM(N29:N30)</f>
        <v>0</v>
      </c>
      <c r="N36" s="1613"/>
      <c r="O36" s="1612">
        <f>SUM(C36:N36)</f>
        <v>0.3125</v>
      </c>
      <c r="P36" s="1613"/>
      <c r="Q36" s="1366"/>
      <c r="R36" s="1431" t="s">
        <v>696</v>
      </c>
      <c r="S36" s="1636">
        <f>SUM(T29:T35)</f>
        <v>0</v>
      </c>
      <c r="T36" s="1613"/>
      <c r="U36" s="1612">
        <f>SUM(V29:V35)</f>
        <v>0</v>
      </c>
      <c r="V36" s="1613"/>
      <c r="W36" s="1612">
        <f>SUM(X29:X35)</f>
        <v>0</v>
      </c>
      <c r="X36" s="1613"/>
      <c r="Y36" s="1612">
        <f>SUM(Z29:Z35)</f>
        <v>0</v>
      </c>
      <c r="Z36" s="1613"/>
      <c r="AA36" s="1612">
        <f>SUM(AB29:AB35)</f>
        <v>0</v>
      </c>
      <c r="AB36" s="1613"/>
      <c r="AC36" s="1612">
        <f>SUM(AD29:AD30)</f>
        <v>0</v>
      </c>
      <c r="AD36" s="1613"/>
      <c r="AE36" s="1612">
        <f>SUM(S36:AD36)</f>
        <v>0</v>
      </c>
      <c r="AF36" s="1614"/>
      <c r="AG36" s="387"/>
      <c r="AH36" s="387"/>
      <c r="AI36" s="447">
        <v>0.3125</v>
      </c>
      <c r="AJ36" s="478" t="s">
        <v>704</v>
      </c>
      <c r="AK36" s="477"/>
      <c r="AL36" s="477"/>
      <c r="AM36" s="477"/>
      <c r="AN36" s="477"/>
      <c r="AO36" s="477"/>
      <c r="AP36" s="477"/>
      <c r="AQ36" s="477"/>
      <c r="AR36" s="477"/>
      <c r="AS36" s="477"/>
      <c r="AT36" s="477"/>
      <c r="AU36" s="386"/>
      <c r="AV36" s="386"/>
      <c r="AW36" s="386"/>
      <c r="AX36" s="386"/>
    </row>
    <row r="37" spans="1:52" ht="5.25" customHeight="1" x14ac:dyDescent="0.25">
      <c r="A37" s="396"/>
      <c r="B37" s="1390"/>
      <c r="C37" s="1373"/>
      <c r="D37" s="1373"/>
      <c r="E37" s="1373"/>
      <c r="F37" s="1373"/>
      <c r="G37" s="1373"/>
      <c r="H37" s="1373"/>
      <c r="I37" s="1373"/>
      <c r="J37" s="1373"/>
      <c r="K37" s="1373"/>
      <c r="L37" s="1373"/>
      <c r="M37" s="1373"/>
      <c r="N37" s="1373"/>
      <c r="O37" s="1373"/>
      <c r="P37" s="1373"/>
      <c r="Q37" s="1366"/>
      <c r="R37" s="1373"/>
      <c r="S37" s="1373"/>
      <c r="T37" s="1373"/>
      <c r="U37" s="1373"/>
      <c r="V37" s="1373"/>
      <c r="W37" s="1373"/>
      <c r="X37" s="1373"/>
      <c r="Y37" s="1373"/>
      <c r="Z37" s="1373"/>
      <c r="AA37" s="1373"/>
      <c r="AB37" s="1373"/>
      <c r="AC37" s="1373"/>
      <c r="AD37" s="1373"/>
      <c r="AE37" s="1373"/>
      <c r="AF37" s="1391"/>
      <c r="AG37" s="386"/>
      <c r="AH37" s="386"/>
      <c r="AJ37" s="477"/>
      <c r="AK37" s="477"/>
      <c r="AL37" s="477"/>
      <c r="AM37" s="477"/>
      <c r="AN37" s="477"/>
      <c r="AO37" s="477"/>
      <c r="AP37" s="477"/>
      <c r="AQ37" s="477"/>
      <c r="AR37" s="386"/>
      <c r="AS37" s="386"/>
      <c r="AT37" s="386"/>
      <c r="AU37" s="386"/>
      <c r="AV37" s="386"/>
      <c r="AW37" s="386"/>
      <c r="AX37" s="386"/>
    </row>
    <row r="38" spans="1:52" ht="15" customHeight="1" x14ac:dyDescent="0.3">
      <c r="A38" s="396"/>
      <c r="B38" s="1615">
        <f>C46</f>
        <v>43926</v>
      </c>
      <c r="C38" s="1616"/>
      <c r="D38" s="1616"/>
      <c r="E38" s="1366"/>
      <c r="F38" s="1366"/>
      <c r="G38" s="1366"/>
      <c r="H38" s="1366"/>
      <c r="I38" s="1366"/>
      <c r="J38" s="1366"/>
      <c r="K38" s="1432"/>
      <c r="L38" s="1366"/>
      <c r="M38" s="1366"/>
      <c r="N38" s="1366"/>
      <c r="O38" s="1366"/>
      <c r="P38" s="1366"/>
      <c r="Q38" s="1366"/>
      <c r="R38" s="1615">
        <f>S46</f>
        <v>43954</v>
      </c>
      <c r="S38" s="1616"/>
      <c r="T38" s="1616"/>
      <c r="U38" s="1366"/>
      <c r="V38" s="1366"/>
      <c r="W38" s="1366"/>
      <c r="X38" s="1366"/>
      <c r="Y38" s="1366"/>
      <c r="Z38" s="1366"/>
      <c r="AA38" s="1366"/>
      <c r="AB38" s="1366"/>
      <c r="AC38" s="1366"/>
      <c r="AD38" s="1366"/>
      <c r="AE38" s="1366"/>
      <c r="AF38" s="1393"/>
      <c r="AG38" s="386"/>
      <c r="AH38" s="386"/>
      <c r="AI38" s="715" t="s">
        <v>871</v>
      </c>
      <c r="AJ38" s="477"/>
      <c r="AK38" s="477"/>
      <c r="AL38" s="477"/>
      <c r="AM38" s="477"/>
      <c r="AN38" s="477"/>
      <c r="AO38" s="477"/>
      <c r="AP38" s="386"/>
      <c r="AQ38" s="1727">
        <v>0.3125</v>
      </c>
      <c r="AR38" s="386"/>
      <c r="AS38" s="386"/>
      <c r="AT38" s="386"/>
      <c r="AU38" s="386"/>
      <c r="AV38" s="386"/>
      <c r="AW38" s="386"/>
      <c r="AX38" s="386"/>
    </row>
    <row r="39" spans="1:52" ht="7.5" customHeight="1" x14ac:dyDescent="0.25">
      <c r="A39" s="396"/>
      <c r="B39" s="1433" t="s">
        <v>691</v>
      </c>
      <c r="C39" s="1403"/>
      <c r="D39" s="1399">
        <f>COUNTIF(D40:D46,"&gt;0")</f>
        <v>0</v>
      </c>
      <c r="E39" s="1398"/>
      <c r="F39" s="1399">
        <f>COUNTIF(F40:F46,"&gt;0")</f>
        <v>0</v>
      </c>
      <c r="G39" s="1398"/>
      <c r="H39" s="1399">
        <f>COUNTIF(H40:H46,"&gt;0")</f>
        <v>0</v>
      </c>
      <c r="I39" s="1398"/>
      <c r="J39" s="1399">
        <f>COUNTIF(J40:J46,"&gt;0")</f>
        <v>0</v>
      </c>
      <c r="K39" s="1398"/>
      <c r="L39" s="1399">
        <f>COUNTIF(L40:L46,"&gt;0")</f>
        <v>0</v>
      </c>
      <c r="M39" s="1398"/>
      <c r="N39" s="1399">
        <f>COUNTIF(N40:N41,"&gt;0")</f>
        <v>0</v>
      </c>
      <c r="O39" s="1404"/>
      <c r="P39" s="1404"/>
      <c r="Q39" s="1366"/>
      <c r="R39" s="1402" t="s">
        <v>691</v>
      </c>
      <c r="S39" s="1403"/>
      <c r="T39" s="1399">
        <f>COUNTIF(T40:T46,"&gt;0")</f>
        <v>0</v>
      </c>
      <c r="U39" s="1398"/>
      <c r="V39" s="1399">
        <f>COUNTIF(V40:V46,"&gt;0")</f>
        <v>0</v>
      </c>
      <c r="W39" s="1398"/>
      <c r="X39" s="1399">
        <f>COUNTIF(X40:X46,"&gt;0")</f>
        <v>0</v>
      </c>
      <c r="Y39" s="1398"/>
      <c r="Z39" s="1399">
        <f>COUNTIF(Z40:Z46,"&gt;0")</f>
        <v>0</v>
      </c>
      <c r="AA39" s="1398"/>
      <c r="AB39" s="1399">
        <f>COUNTIF(AB40:AB46,"&gt;0")</f>
        <v>0</v>
      </c>
      <c r="AC39" s="1398"/>
      <c r="AD39" s="1399">
        <f>COUNTIF(AD40:AD41,"&gt;0")</f>
        <v>0</v>
      </c>
      <c r="AE39" s="1404"/>
      <c r="AF39" s="1405"/>
      <c r="AG39" s="386"/>
      <c r="AH39" s="386"/>
      <c r="AI39" s="477"/>
      <c r="AJ39" s="477"/>
      <c r="AK39" s="477"/>
      <c r="AL39" s="477"/>
      <c r="AM39" s="477"/>
      <c r="AN39" s="477"/>
      <c r="AO39" s="477"/>
      <c r="AP39" s="386"/>
      <c r="AQ39" s="386"/>
      <c r="AR39" s="386"/>
      <c r="AS39" s="386"/>
      <c r="AT39" s="386"/>
      <c r="AU39" s="386"/>
      <c r="AV39" s="386"/>
      <c r="AW39" s="386"/>
      <c r="AX39" s="386"/>
    </row>
    <row r="40" spans="1:52" ht="13.5" customHeight="1" x14ac:dyDescent="0.25">
      <c r="B40" s="1406" t="s">
        <v>567</v>
      </c>
      <c r="C40" s="1407" t="str">
        <f>IF(DAY(Avr_Dim1)=1,"",IF(AND(YEAR(Avr_Dim1+1)=Année_Calendaire,MONTH(Avr_Dim1+1)=4),Avr_Dim1+1,""))</f>
        <v/>
      </c>
      <c r="D40" s="1728"/>
      <c r="E40" s="1408">
        <f>IF(DAY(Avr_Dim1)=1,IF(AND(YEAR(Avr_Dim1+1)=Année_Calendaire,MONTH(Avr_Dim1+1)=4),Avr_Dim1+1,""),IF(AND(YEAR(Avr_Dim1+8)=Année_Calendaire,MONTH(Avr_Dim1+8)=4),Avr_Dim1+8,""))</f>
        <v>43927</v>
      </c>
      <c r="F40" s="1728"/>
      <c r="G40" s="1409">
        <f>IF(DAY(Avr_Dim1)=1,IF(AND(YEAR(Avr_Dim1+8)=Année_Calendaire,MONTH(Avr_Dim1+8)=4),Avr_Dim1+8,""),IF(AND(YEAR(Avr_Dim1+15)=Année_Calendaire,MONTH(Avr_Dim1+15)=4),Avr_Dim1+15,""))</f>
        <v>43934</v>
      </c>
      <c r="H40" s="1728"/>
      <c r="I40" s="1409">
        <f>IF(DAY(Avr_Dim1)=1,IF(AND(YEAR(Avr_Dim1+15)=Année_Calendaire,MONTH(Avr_Dim1+15)=4),Avr_Dim1+15,""),IF(AND(YEAR(Avr_Dim1+22)=Année_Calendaire,MONTH(Avr_Dim1+22)=4),Avr_Dim1+22,""))</f>
        <v>43941</v>
      </c>
      <c r="J40" s="1728"/>
      <c r="K40" s="1409">
        <f>IF(DAY(Avr_Dim1)=1,IF(AND(YEAR(Avr_Dim1+22)=Année_Calendaire,MONTH(Avr_Dim1+22)=4),Avr_Dim1+22,""),IF(AND(YEAR(Avr_Dim1+29)=Année_Calendaire,MONTH(Avr_Dim1+29)=4),Avr_Dim1+29,""))</f>
        <v>43948</v>
      </c>
      <c r="L40" s="1728"/>
      <c r="M40" s="1409" t="str">
        <f>IF(DAY(Avr_Dim1)=1,IF(AND(YEAR(Avr_Dim1+29)=Année_Calendaire,MONTH(Avr_Dim1+29)=4),Avr_Dim1+29,""),IF(AND(YEAR(Avr_Dim1+36)=Année_Calendaire,MONTH(Avr_Dim1+36)=4),Avr_Dim1+36,""))</f>
        <v/>
      </c>
      <c r="N40" s="1728"/>
      <c r="O40" s="1410">
        <f>COUNTIF(C40:N46,P40)</f>
        <v>0</v>
      </c>
      <c r="P40" s="1411" t="s">
        <v>37</v>
      </c>
      <c r="Q40" s="1366"/>
      <c r="R40" s="1412" t="s">
        <v>567</v>
      </c>
      <c r="S40" s="1407" t="str">
        <f>IF(DAY(Mai_Dim1)=1,"",IF(AND(YEAR(Mai_Dim1+1)=Année_Calendaire,MONTH(Mai_Dim1+1)=5),Mai_Dim1+1,""))</f>
        <v/>
      </c>
      <c r="T40" s="1728"/>
      <c r="U40" s="1408">
        <f>IF(DAY(Mai_Dim1)=1,IF(AND(YEAR(Mai_Dim1+1)=Année_Calendaire,MONTH(Mai_Dim1+1)=5),Mai_Dim1+1,""),IF(AND(YEAR(Mai_Dim1+8)=Année_Calendaire,MONTH(Mai_Dim1+8)=5),Mai_Dim1+8,""))</f>
        <v>43955</v>
      </c>
      <c r="V40" s="1728"/>
      <c r="W40" s="1409">
        <f>IF(DAY(Mai_Dim1)=1,IF(AND(YEAR(Mai_Dim1+8)=Année_Calendaire,MONTH(Mai_Dim1+8)=5),Mai_Dim1+8,""),IF(AND(YEAR(Mai_Dim1+15)=Année_Calendaire,MONTH(Mai_Dim1+15)=5),Mai_Dim1+15,""))</f>
        <v>43962</v>
      </c>
      <c r="X40" s="1728"/>
      <c r="Y40" s="1409">
        <f>IF(DAY(Mai_Dim1)=1,IF(AND(YEAR(Mai_Dim1+15)=Année_Calendaire,MONTH(Mai_Dim1+15)=5),Mai_Dim1+15,""),IF(AND(YEAR(Mai_Dim1+22)=Année_Calendaire,MONTH(Mai_Dim1+22)=5),Mai_Dim1+22,""))</f>
        <v>43969</v>
      </c>
      <c r="Z40" s="1728"/>
      <c r="AA40" s="1409">
        <f>IF(DAY(Mai_Dim1)=1,IF(AND(YEAR(Mai_Dim1+22)=Année_Calendaire,MONTH(Mai_Dim1+22)=5),Mai_Dim1+22,""),IF(AND(YEAR(Mai_Dim1+29)=Année_Calendaire,MONTH(Mai_Dim1+29)=5),Mai_Dim1+29,""))</f>
        <v>43976</v>
      </c>
      <c r="AB40" s="1728"/>
      <c r="AC40" s="1409" t="str">
        <f>IF(DAY(Mai_Dim1)=1,IF(AND(YEAR(Mai_Dim1+29)=Année_Calendaire,MONTH(Mai_Dim1+29)=5),Mai_Dim1+29,""),IF(AND(YEAR(Mai_Dim1+36)=Année_Calendaire,MONTH(Mai_Dim1+36)=5),Mai_Dim1+36,""))</f>
        <v/>
      </c>
      <c r="AD40" s="1728"/>
      <c r="AE40" s="1410">
        <f>COUNTIF(S40:AD46,AF40)</f>
        <v>0</v>
      </c>
      <c r="AF40" s="1413" t="s">
        <v>37</v>
      </c>
      <c r="AG40" s="386"/>
      <c r="AH40" s="386"/>
      <c r="AI40" s="1596">
        <v>0.3125</v>
      </c>
      <c r="AJ40" s="1596"/>
      <c r="AK40" s="1596"/>
      <c r="AL40" s="717" t="s">
        <v>704</v>
      </c>
      <c r="AM40" s="477"/>
      <c r="AN40" s="477"/>
      <c r="AO40" s="477"/>
      <c r="AP40" s="386"/>
      <c r="AQ40" s="386"/>
      <c r="AR40" s="386"/>
      <c r="AS40" s="386"/>
      <c r="AT40" s="386"/>
      <c r="AU40" s="386"/>
      <c r="AV40" s="386"/>
      <c r="AW40" s="386"/>
      <c r="AX40" s="386"/>
    </row>
    <row r="41" spans="1:52" ht="13.5" customHeight="1" x14ac:dyDescent="0.25">
      <c r="B41" s="1414" t="s">
        <v>568</v>
      </c>
      <c r="C41" s="1415" t="str">
        <f>IF(DAY(Avr_Dim1)=1,"",IF(AND(YEAR(Avr_Dim1+2)=Année_Calendaire,MONTH(Avr_Dim1+2)=4),Avr_Dim1+2,""))</f>
        <v/>
      </c>
      <c r="D41" s="1728"/>
      <c r="E41" s="428">
        <f>IF(DAY(Avr_Dim1)=1,IF(AND(YEAR(Avr_Dim1+2)=Année_Calendaire,MONTH(Avr_Dim1+2)=4),Avr_Dim1+2,""),IF(AND(YEAR(Avr_Dim1+9)=Année_Calendaire,MONTH(Avr_Dim1+9)=4),Avr_Dim1+9,""))</f>
        <v>43928</v>
      </c>
      <c r="F41" s="1728"/>
      <c r="G41" s="428">
        <f>IF(DAY(Avr_Dim1)=1,IF(AND(YEAR(Avr_Dim1+9)=Année_Calendaire,MONTH(Avr_Dim1+9)=4),Avr_Dim1+9,""),IF(AND(YEAR(Avr_Dim1+16)=Année_Calendaire,MONTH(Avr_Dim1+16)=4),Avr_Dim1+16,""))</f>
        <v>43935</v>
      </c>
      <c r="H41" s="1728"/>
      <c r="I41" s="428">
        <f>IF(DAY(Avr_Dim1)=1,IF(AND(YEAR(Avr_Dim1+16)=Année_Calendaire,MONTH(Avr_Dim1+16)=4),Avr_Dim1+16,""),IF(AND(YEAR(Avr_Dim1+23)=Année_Calendaire,MONTH(Avr_Dim1+23)=4),Avr_Dim1+23,""))</f>
        <v>43942</v>
      </c>
      <c r="J41" s="1728"/>
      <c r="K41" s="428">
        <f>IF(DAY(Avr_Dim1)=1,IF(AND(YEAR(Avr_Dim1+23)=Année_Calendaire,MONTH(Avr_Dim1+23)=4),Avr_Dim1+23,""),IF(AND(YEAR(Avr_Dim1+30)=Année_Calendaire,MONTH(Avr_Dim1+30)=4),Avr_Dim1+30,""))</f>
        <v>43949</v>
      </c>
      <c r="L41" s="1728"/>
      <c r="M41" s="429" t="str">
        <f>IF(DAY(Avr_Dim1)=1,IF(AND(YEAR(Avr_Dim1+30)=Année_Calendaire,MONTH(Avr_Dim1+30)=4),Avr_Dim1+30,""),IF(AND(YEAR(Avr_Dim1+37)=Année_Calendaire,MONTH(Avr_Dim1+37)=4),Avr_Dim1+37,""))</f>
        <v/>
      </c>
      <c r="N41" s="1728"/>
      <c r="O41" s="458">
        <f>COUNTIF(C40:N46,P41)</f>
        <v>0</v>
      </c>
      <c r="P41" s="459" t="s">
        <v>368</v>
      </c>
      <c r="Q41" s="1366"/>
      <c r="R41" s="427" t="s">
        <v>568</v>
      </c>
      <c r="S41" s="1415" t="str">
        <f>IF(DAY(Mai_Dim1)=1,"",IF(AND(YEAR(Mai_Dim1+2)=Année_Calendaire,MONTH(Mai_Dim1+2)=5),Mai_Dim1+2,""))</f>
        <v/>
      </c>
      <c r="T41" s="1728"/>
      <c r="U41" s="428">
        <f>IF(DAY(Mai_Dim1)=1,IF(AND(YEAR(Mai_Dim1+2)=Année_Calendaire,MONTH(Mai_Dim1+2)=5),Mai_Dim1+2,""),IF(AND(YEAR(Mai_Dim1+9)=Année_Calendaire,MONTH(Mai_Dim1+9)=5),Mai_Dim1+9,""))</f>
        <v>43956</v>
      </c>
      <c r="V41" s="1728"/>
      <c r="W41" s="428">
        <f>IF(DAY(Mai_Dim1)=1,IF(AND(YEAR(Mai_Dim1+9)=Année_Calendaire,MONTH(Mai_Dim1+9)=5),Mai_Dim1+9,""),IF(AND(YEAR(Mai_Dim1+16)=Année_Calendaire,MONTH(Mai_Dim1+16)=5),Mai_Dim1+16,""))</f>
        <v>43963</v>
      </c>
      <c r="X41" s="1728"/>
      <c r="Y41" s="428">
        <f>IF(DAY(Mai_Dim1)=1,IF(AND(YEAR(Mai_Dim1+16)=Année_Calendaire,MONTH(Mai_Dim1+16)=5),Mai_Dim1+16,""),IF(AND(YEAR(Mai_Dim1+23)=Année_Calendaire,MONTH(Mai_Dim1+23)=5),Mai_Dim1+23,""))</f>
        <v>43970</v>
      </c>
      <c r="Z41" s="1728"/>
      <c r="AA41" s="428">
        <f>IF(DAY(Mai_Dim1)=1,IF(AND(YEAR(Mai_Dim1+23)=Année_Calendaire,MONTH(Mai_Dim1+23)=5),Mai_Dim1+23,""),IF(AND(YEAR(Mai_Dim1+30)=Année_Calendaire,MONTH(Mai_Dim1+30)=5),Mai_Dim1+30,""))</f>
        <v>43977</v>
      </c>
      <c r="AB41" s="1728"/>
      <c r="AC41" s="429" t="str">
        <f>IF(DAY(Mai_Dim1)=1,IF(AND(YEAR(Mai_Dim1+30)=Année_Calendaire,MONTH(Mai_Dim1+30)=5),Mai_Dim1+30,""),IF(AND(YEAR(Mai_Dim1+37)=Année_Calendaire,MONTH(Mai_Dim1+37)=5),Mai_Dim1+37,""))</f>
        <v/>
      </c>
      <c r="AD41" s="1728"/>
      <c r="AE41" s="458">
        <f>COUNTIF(S40:AD46,AF41)</f>
        <v>0</v>
      </c>
      <c r="AF41" s="1416" t="s">
        <v>368</v>
      </c>
      <c r="AG41" s="386"/>
      <c r="AH41" s="386"/>
      <c r="AI41" s="1597">
        <v>0.3125</v>
      </c>
      <c r="AJ41" s="1597"/>
      <c r="AK41" s="1597"/>
      <c r="AL41" s="718" t="s">
        <v>873</v>
      </c>
      <c r="AM41" s="388"/>
      <c r="AN41" s="388"/>
      <c r="AO41" s="388"/>
      <c r="AP41" s="386"/>
      <c r="AQ41" s="386"/>
      <c r="AR41" s="386"/>
      <c r="AS41" s="386"/>
      <c r="AT41" s="386"/>
      <c r="AU41" s="386"/>
      <c r="AV41" s="386"/>
      <c r="AW41" s="386"/>
      <c r="AX41" s="386"/>
    </row>
    <row r="42" spans="1:52" s="377" customFormat="1" ht="13.5" customHeight="1" x14ac:dyDescent="0.25">
      <c r="A42" s="357"/>
      <c r="B42" s="1414" t="s">
        <v>569</v>
      </c>
      <c r="C42" s="1415">
        <f>IF(DAY(Avr_Dim1)=1,"",IF(AND(YEAR(Avr_Dim1+3)=Année_Calendaire,MONTH(Avr_Dim1+3)=4),Avr_Dim1+3,""))</f>
        <v>43922</v>
      </c>
      <c r="D42" s="1728"/>
      <c r="E42" s="428">
        <f>IF(DAY(Avr_Dim1)=1,IF(AND(YEAR(Avr_Dim1+3)=Année_Calendaire,MONTH(Avr_Dim1+3)=4),Avr_Dim1+3,""),IF(AND(YEAR(Avr_Dim1+10)=Année_Calendaire,MONTH(Avr_Dim1+10)=4),Avr_Dim1+10,""))</f>
        <v>43929</v>
      </c>
      <c r="F42" s="1728"/>
      <c r="G42" s="428">
        <f>IF(DAY(Avr_Dim1)=1,IF(AND(YEAR(Avr_Dim1+10)=Année_Calendaire,MONTH(Avr_Dim1+10)=4),Avr_Dim1+10,""),IF(AND(YEAR(Avr_Dim1+17)=Année_Calendaire,MONTH(Avr_Dim1+17)=4),Avr_Dim1+17,""))</f>
        <v>43936</v>
      </c>
      <c r="H42" s="1728"/>
      <c r="I42" s="428">
        <f>IF(DAY(Avr_Dim1)=1,IF(AND(YEAR(Avr_Dim1+17)=Année_Calendaire,MONTH(Avr_Dim1+17)=4),Avr_Dim1+17,""),IF(AND(YEAR(Avr_Dim1+24)=Année_Calendaire,MONTH(Avr_Dim1+24)=4),Avr_Dim1+24,""))</f>
        <v>43943</v>
      </c>
      <c r="J42" s="1728"/>
      <c r="K42" s="428">
        <f>IF(DAY(Avr_Dim1)=1,IF(AND(YEAR(Avr_Dim1+24)=Année_Calendaire,MONTH(Avr_Dim1+24)=4),Avr_Dim1+24,""),IF(AND(YEAR(Avr_Dim1+31)=Année_Calendaire,MONTH(Avr_Dim1+31)=4),Avr_Dim1+31,""))</f>
        <v>43950</v>
      </c>
      <c r="L42" s="1728"/>
      <c r="M42" s="1417" t="s">
        <v>685</v>
      </c>
      <c r="N42" s="1418"/>
      <c r="O42" s="460">
        <f>COUNTIF(C40:N46,P42)</f>
        <v>0</v>
      </c>
      <c r="P42" s="461" t="s">
        <v>7</v>
      </c>
      <c r="Q42" s="1366"/>
      <c r="R42" s="427" t="s">
        <v>569</v>
      </c>
      <c r="S42" s="1415" t="str">
        <f>IF(DAY(Mai_Dim1)=1,"",IF(AND(YEAR(Mai_Dim1+3)=Année_Calendaire,MONTH(Mai_Dim1+3)=5),Mai_Dim1+3,""))</f>
        <v/>
      </c>
      <c r="T42" s="1728"/>
      <c r="U42" s="428">
        <f>IF(DAY(Mai_Dim1)=1,IF(AND(YEAR(Mai_Dim1+3)=Année_Calendaire,MONTH(Mai_Dim1+3)=5),Mai_Dim1+3,""),IF(AND(YEAR(Mai_Dim1+10)=Année_Calendaire,MONTH(Mai_Dim1+10)=5),Mai_Dim1+10,""))</f>
        <v>43957</v>
      </c>
      <c r="V42" s="1728"/>
      <c r="W42" s="428">
        <f>IF(DAY(Mai_Dim1)=1,IF(AND(YEAR(Mai_Dim1+10)=Année_Calendaire,MONTH(Mai_Dim1+10)=5),Mai_Dim1+10,""),IF(AND(YEAR(Mai_Dim1+17)=Année_Calendaire,MONTH(Mai_Dim1+17)=5),Mai_Dim1+17,""))</f>
        <v>43964</v>
      </c>
      <c r="X42" s="1728"/>
      <c r="Y42" s="428">
        <f>IF(DAY(Mai_Dim1)=1,IF(AND(YEAR(Mai_Dim1+17)=Année_Calendaire,MONTH(Mai_Dim1+17)=5),Mai_Dim1+17,""),IF(AND(YEAR(Mai_Dim1+24)=Année_Calendaire,MONTH(Mai_Dim1+24)=5),Mai_Dim1+24,""))</f>
        <v>43971</v>
      </c>
      <c r="Z42" s="1728"/>
      <c r="AA42" s="428">
        <f>IF(DAY(Mai_Dim1)=1,IF(AND(YEAR(Mai_Dim1+24)=Année_Calendaire,MONTH(Mai_Dim1+24)=5),Mai_Dim1+24,""),IF(AND(YEAR(Mai_Dim1+31)=Année_Calendaire,MONTH(Mai_Dim1+31)=5),Mai_Dim1+31,""))</f>
        <v>43978</v>
      </c>
      <c r="AB42" s="1728"/>
      <c r="AC42" s="1417" t="s">
        <v>685</v>
      </c>
      <c r="AD42" s="1418"/>
      <c r="AE42" s="460">
        <f>COUNTIF(S40:AD46,AF42)</f>
        <v>0</v>
      </c>
      <c r="AF42" s="1419" t="s">
        <v>7</v>
      </c>
      <c r="AG42" s="389"/>
      <c r="AH42" s="389"/>
      <c r="AI42" s="477"/>
      <c r="AJ42" s="388"/>
      <c r="AK42" s="388"/>
      <c r="AL42" s="388"/>
      <c r="AM42" s="388"/>
      <c r="AN42" s="388"/>
      <c r="AO42" s="388"/>
      <c r="AP42" s="389"/>
      <c r="AQ42" s="389"/>
      <c r="AR42" s="389"/>
      <c r="AS42" s="388"/>
      <c r="AT42" s="388"/>
      <c r="AU42" s="388"/>
      <c r="AV42" s="388"/>
      <c r="AW42" s="388"/>
      <c r="AX42" s="388"/>
      <c r="AZ42" s="394"/>
    </row>
    <row r="43" spans="1:52" s="377" customFormat="1" ht="13.5" customHeight="1" x14ac:dyDescent="0.25">
      <c r="A43" s="446"/>
      <c r="B43" s="1414" t="s">
        <v>556</v>
      </c>
      <c r="C43" s="1415">
        <f>IF(DAY(Avr_Dim1)=1,"",IF(AND(YEAR(Avr_Dim1+4)=Année_Calendaire,MONTH(Avr_Dim1+4)=4),Avr_Dim1+4,""))</f>
        <v>43923</v>
      </c>
      <c r="D43" s="1728"/>
      <c r="E43" s="428">
        <f>IF(DAY(Avr_Dim1)=1,IF(AND(YEAR(Avr_Dim1+4)=Année_Calendaire,MONTH(Avr_Dim1+4)=4),Avr_Dim1+4,""),IF(AND(YEAR(Avr_Dim1+11)=Année_Calendaire,MONTH(Avr_Dim1+11)=4),Avr_Dim1+11,""))</f>
        <v>43930</v>
      </c>
      <c r="F43" s="1728"/>
      <c r="G43" s="428">
        <f>IF(DAY(Avr_Dim1)=1,IF(AND(YEAR(Avr_Dim1+11)=Année_Calendaire,MONTH(Avr_Dim1+11)=4),Avr_Dim1+11,""),IF(AND(YEAR(Avr_Dim1+18)=Année_Calendaire,MONTH(Avr_Dim1+18)=4),Avr_Dim1+18,""))</f>
        <v>43937</v>
      </c>
      <c r="H43" s="1728"/>
      <c r="I43" s="428">
        <f>IF(DAY(Avr_Dim1)=1,IF(AND(YEAR(Avr_Dim1+18)=Année_Calendaire,MONTH(Avr_Dim1+18)=4),Avr_Dim1+18,""),IF(AND(YEAR(Avr_Dim1+25)=Année_Calendaire,MONTH(Avr_Dim1+25)=4),Avr_Dim1+25,""))</f>
        <v>43944</v>
      </c>
      <c r="J43" s="1728"/>
      <c r="K43" s="428">
        <f>IF(DAY(Avr_Dim1)=1,IF(AND(YEAR(Avr_Dim1+25)=Année_Calendaire,MONTH(Avr_Dim1+25)=4),Avr_Dim1+25,""),IF(AND(YEAR(Avr_Dim1+32)=Année_Calendaire,MONTH(Avr_Dim1+32)=4),Avr_Dim1+32,""))</f>
        <v>43951</v>
      </c>
      <c r="L43" s="1728"/>
      <c r="M43" s="1628">
        <f>SUM(D40:D46,F40:F46,H40:H46,J40:J46,L40:L46,N40:N41)</f>
        <v>0</v>
      </c>
      <c r="N43" s="1629"/>
      <c r="O43" s="462">
        <f>COUNTIF(C40:N46,P43)</f>
        <v>0</v>
      </c>
      <c r="P43" s="463" t="s">
        <v>373</v>
      </c>
      <c r="Q43" s="1366"/>
      <c r="R43" s="427" t="s">
        <v>556</v>
      </c>
      <c r="S43" s="1415" t="str">
        <f>IF(DAY(Mai_Dim1)=1,"",IF(AND(YEAR(Mai_Dim1+4)=Année_Calendaire,MONTH(Mai_Dim1+4)=5),Mai_Dim1+4,""))</f>
        <v/>
      </c>
      <c r="T43" s="1728"/>
      <c r="U43" s="428">
        <f>IF(DAY(Mai_Dim1)=1,IF(AND(YEAR(Mai_Dim1+4)=Année_Calendaire,MONTH(Mai_Dim1+4)=5),Mai_Dim1+4,""),IF(AND(YEAR(Mai_Dim1+11)=Année_Calendaire,MONTH(Mai_Dim1+11)=5),Mai_Dim1+11,""))</f>
        <v>43958</v>
      </c>
      <c r="V43" s="1728"/>
      <c r="W43" s="428">
        <f>IF(DAY(Mai_Dim1)=1,IF(AND(YEAR(Mai_Dim1+11)=Année_Calendaire,MONTH(Mai_Dim1+11)=5),Mai_Dim1+11,""),IF(AND(YEAR(Mai_Dim1+18)=Année_Calendaire,MONTH(Mai_Dim1+18)=5),Mai_Dim1+18,""))</f>
        <v>43965</v>
      </c>
      <c r="X43" s="1728"/>
      <c r="Y43" s="428">
        <f>IF(DAY(Mai_Dim1)=1,IF(AND(YEAR(Mai_Dim1+18)=Année_Calendaire,MONTH(Mai_Dim1+18)=5),Mai_Dim1+18,""),IF(AND(YEAR(Mai_Dim1+25)=Année_Calendaire,MONTH(Mai_Dim1+25)=5),Mai_Dim1+25,""))</f>
        <v>43972</v>
      </c>
      <c r="Z43" s="1728"/>
      <c r="AA43" s="428">
        <f>IF(DAY(Mai_Dim1)=1,IF(AND(YEAR(Mai_Dim1+25)=Année_Calendaire,MONTH(Mai_Dim1+25)=5),Mai_Dim1+25,""),IF(AND(YEAR(Mai_Dim1+32)=Année_Calendaire,MONTH(Mai_Dim1+32)=5),Mai_Dim1+32,""))</f>
        <v>43979</v>
      </c>
      <c r="AB43" s="1728"/>
      <c r="AC43" s="1628">
        <f>SUM(T40:T46,V40:V46,X40:X46,Z40:Z46,AB40:AB46,AD40:AD41)</f>
        <v>0</v>
      </c>
      <c r="AD43" s="1629"/>
      <c r="AE43" s="462">
        <f>COUNTIF(S40:AD46,AF43)</f>
        <v>0</v>
      </c>
      <c r="AF43" s="1421" t="s">
        <v>373</v>
      </c>
      <c r="AG43" s="388"/>
      <c r="AH43" s="388"/>
      <c r="AI43" s="743" t="s">
        <v>904</v>
      </c>
      <c r="AJ43" s="745" t="s">
        <v>901</v>
      </c>
      <c r="AK43" s="13"/>
      <c r="AL43" s="388"/>
      <c r="AM43" s="388"/>
      <c r="AN43" s="388"/>
      <c r="AO43" s="388"/>
      <c r="AP43" s="388"/>
      <c r="AQ43" s="388"/>
      <c r="AR43" s="388"/>
      <c r="AS43" s="388"/>
      <c r="AT43" s="388"/>
      <c r="AU43" s="388"/>
      <c r="AV43" s="388"/>
      <c r="AW43" s="388"/>
      <c r="AX43" s="388"/>
      <c r="AZ43" s="394"/>
    </row>
    <row r="44" spans="1:52" s="357" customFormat="1" ht="13.5" customHeight="1" x14ac:dyDescent="0.25">
      <c r="A44" s="446"/>
      <c r="B44" s="1414" t="s">
        <v>570</v>
      </c>
      <c r="C44" s="1415">
        <f>IF(DAY(Avr_Dim1)=1,"",IF(AND(YEAR(Avr_Dim1+5)=Année_Calendaire,MONTH(Avr_Dim1+5)=4),Avr_Dim1+5,""))</f>
        <v>43924</v>
      </c>
      <c r="D44" s="1728"/>
      <c r="E44" s="428">
        <f>IF(DAY(Avr_Dim1)=1,IF(AND(YEAR(Avr_Dim1+5)=Année_Calendaire,MONTH(Avr_Dim1+5)=4),Avr_Dim1+5,""),IF(AND(YEAR(Avr_Dim1+12)=Année_Calendaire,MONTH(Avr_Dim1+12)=4),Avr_Dim1+12,""))</f>
        <v>43931</v>
      </c>
      <c r="F44" s="1728"/>
      <c r="G44" s="428">
        <f>IF(DAY(Avr_Dim1)=1,IF(AND(YEAR(Avr_Dim1+12)=Année_Calendaire,MONTH(Avr_Dim1+12)=4),Avr_Dim1+12,""),IF(AND(YEAR(Avr_Dim1+19)=Année_Calendaire,MONTH(Avr_Dim1+19)=4),Avr_Dim1+19,""))</f>
        <v>43938</v>
      </c>
      <c r="H44" s="1728"/>
      <c r="I44" s="428">
        <f>IF(DAY(Avr_Dim1)=1,IF(AND(YEAR(Avr_Dim1+19)=Année_Calendaire,MONTH(Avr_Dim1+19)=4),Avr_Dim1+19,""),IF(AND(YEAR(Avr_Dim1+26)=Année_Calendaire,MONTH(Avr_Dim1+26)=4),Avr_Dim1+26,""))</f>
        <v>43945</v>
      </c>
      <c r="J44" s="1728"/>
      <c r="K44" s="428" t="str">
        <f>IF(DAY(Avr_Dim1)=1,IF(AND(YEAR(Avr_Dim1+26)=Année_Calendaire,MONTH(Avr_Dim1+26)=4),Avr_Dim1+26,""),IF(AND(YEAR(Avr_Dim1+33)=Année_Calendaire,MONTH(Avr_Dim1+33)=4),Avr_Dim1+33,""))</f>
        <v/>
      </c>
      <c r="L44" s="1728"/>
      <c r="M44" s="433">
        <f>SUM(D39:N39)</f>
        <v>0</v>
      </c>
      <c r="N44" s="434" t="s">
        <v>387</v>
      </c>
      <c r="O44" s="464">
        <f>COUNTIF(C40:N46,P44)</f>
        <v>0</v>
      </c>
      <c r="P44" s="465" t="s">
        <v>8</v>
      </c>
      <c r="Q44" s="1366"/>
      <c r="R44" s="427" t="s">
        <v>570</v>
      </c>
      <c r="S44" s="1415">
        <f>IF(DAY(Mai_Dim1)=1,"",IF(AND(YEAR(Mai_Dim1+5)=Année_Calendaire,MONTH(Mai_Dim1+5)=5),Mai_Dim1+5,""))</f>
        <v>43952</v>
      </c>
      <c r="T44" s="1728"/>
      <c r="U44" s="428">
        <f>IF(DAY(Mai_Dim1)=1,IF(AND(YEAR(Mai_Dim1+5)=Année_Calendaire,MONTH(Mai_Dim1+5)=5),Mai_Dim1+5,""),IF(AND(YEAR(Mai_Dim1+12)=Année_Calendaire,MONTH(Mai_Dim1+12)=5),Mai_Dim1+12,""))</f>
        <v>43959</v>
      </c>
      <c r="V44" s="1728"/>
      <c r="W44" s="428">
        <f>IF(DAY(Mai_Dim1)=1,IF(AND(YEAR(Mai_Dim1+12)=Année_Calendaire,MONTH(Mai_Dim1+12)=5),Mai_Dim1+12,""),IF(AND(YEAR(Mai_Dim1+19)=Année_Calendaire,MONTH(Mai_Dim1+19)=5),Mai_Dim1+19,""))</f>
        <v>43966</v>
      </c>
      <c r="X44" s="1728"/>
      <c r="Y44" s="428">
        <f>IF(DAY(Mai_Dim1)=1,IF(AND(YEAR(Mai_Dim1+19)=Année_Calendaire,MONTH(Mai_Dim1+19)=5),Mai_Dim1+19,""),IF(AND(YEAR(Mai_Dim1+26)=Année_Calendaire,MONTH(Mai_Dim1+26)=5),Mai_Dim1+26,""))</f>
        <v>43973</v>
      </c>
      <c r="Z44" s="1728"/>
      <c r="AA44" s="428">
        <f>IF(DAY(Mai_Dim1)=1,IF(AND(YEAR(Mai_Dim1+26)=Année_Calendaire,MONTH(Mai_Dim1+26)=5),Mai_Dim1+26,""),IF(AND(YEAR(Mai_Dim1+33)=Année_Calendaire,MONTH(Mai_Dim1+33)=5),Mai_Dim1+33,""))</f>
        <v>43980</v>
      </c>
      <c r="AB44" s="1728"/>
      <c r="AC44" s="433">
        <f>SUM(T39:AD39)</f>
        <v>0</v>
      </c>
      <c r="AD44" s="434" t="s">
        <v>387</v>
      </c>
      <c r="AE44" s="464">
        <f>COUNTIF(S40:AD46,AF44)</f>
        <v>0</v>
      </c>
      <c r="AF44" s="1422" t="s">
        <v>8</v>
      </c>
      <c r="AG44" s="388"/>
      <c r="AH44" s="388"/>
      <c r="AI44" s="744"/>
      <c r="AJ44" s="746" t="s">
        <v>900</v>
      </c>
      <c r="AK44" s="13"/>
      <c r="AL44" s="388"/>
      <c r="AM44" s="388"/>
      <c r="AN44" s="388"/>
      <c r="AO44" s="388"/>
      <c r="AP44" s="388"/>
      <c r="AQ44" s="388"/>
      <c r="AR44" s="388"/>
      <c r="AS44" s="389"/>
      <c r="AT44" s="389"/>
      <c r="AU44" s="389"/>
      <c r="AV44" s="389"/>
      <c r="AW44" s="389"/>
      <c r="AX44" s="389"/>
      <c r="AZ44" s="394"/>
    </row>
    <row r="45" spans="1:52" s="357" customFormat="1" ht="13.5" customHeight="1" x14ac:dyDescent="0.25">
      <c r="A45" s="446"/>
      <c r="B45" s="1423" t="s">
        <v>571</v>
      </c>
      <c r="C45" s="1424">
        <f>IF(DAY(Avr_Dim1)=1,"",IF(AND(YEAR(Avr_Dim1+6)=Année_Calendaire,MONTH(Avr_Dim1+6)=4),Avr_Dim1+6,""))</f>
        <v>43925</v>
      </c>
      <c r="D45" s="1728"/>
      <c r="E45" s="437">
        <f>IF(DAY(Avr_Dim1)=1,IF(AND(YEAR(Avr_Dim1+6)=Année_Calendaire,MONTH(Avr_Dim1+6)=4),Avr_Dim1+6,""),IF(AND(YEAR(Avr_Dim1+13)=Année_Calendaire,MONTH(Avr_Dim1+13)=4),Avr_Dim1+13,""))</f>
        <v>43932</v>
      </c>
      <c r="F45" s="1728"/>
      <c r="G45" s="437">
        <f>IF(DAY(Avr_Dim1)=1,IF(AND(YEAR(Avr_Dim1+13)=Année_Calendaire,MONTH(Avr_Dim1+13)=4),Avr_Dim1+13,""),IF(AND(YEAR(Avr_Dim1+20)=Année_Calendaire,MONTH(Avr_Dim1+20)=4),Avr_Dim1+20,""))</f>
        <v>43939</v>
      </c>
      <c r="H45" s="1728"/>
      <c r="I45" s="437">
        <f>IF(DAY(Avr_Dim1)=1,IF(AND(YEAR(Avr_Dim1+20)=Année_Calendaire,MONTH(Avr_Dim1+20)=4),Avr_Dim1+20,""),IF(AND(YEAR(Avr_Dim1+27)=Année_Calendaire,MONTH(Avr_Dim1+27)=4),Avr_Dim1+27,""))</f>
        <v>43946</v>
      </c>
      <c r="J45" s="1728"/>
      <c r="K45" s="437" t="str">
        <f>IF(DAY(Avr_Dim1)=1,IF(AND(YEAR(Avr_Dim1+27)=Année_Calendaire,MONTH(Avr_Dim1+27)=4),Avr_Dim1+27,""),IF(AND(YEAR(Avr_Dim1+34)=Année_Calendaire,MONTH(Avr_Dim1+34)=4),Avr_Dim1+34,""))</f>
        <v/>
      </c>
      <c r="L45" s="1728"/>
      <c r="M45" s="438" t="s">
        <v>686</v>
      </c>
      <c r="N45" s="439"/>
      <c r="O45" s="466">
        <f>COUNTIF(C40:N46,P45)</f>
        <v>0</v>
      </c>
      <c r="P45" s="467" t="s">
        <v>356</v>
      </c>
      <c r="Q45" s="1366"/>
      <c r="R45" s="436" t="s">
        <v>571</v>
      </c>
      <c r="S45" s="1424">
        <f>IF(DAY(Mai_Dim1)=1,"",IF(AND(YEAR(Mai_Dim1+6)=Année_Calendaire,MONTH(Mai_Dim1+6)=5),Mai_Dim1+6,""))</f>
        <v>43953</v>
      </c>
      <c r="T45" s="1728"/>
      <c r="U45" s="437">
        <f>IF(DAY(Mai_Dim1)=1,IF(AND(YEAR(Mai_Dim1+6)=Année_Calendaire,MONTH(Mai_Dim1+6)=5),Mai_Dim1+6,""),IF(AND(YEAR(Mai_Dim1+13)=Année_Calendaire,MONTH(Mai_Dim1+13)=5),Mai_Dim1+13,""))</f>
        <v>43960</v>
      </c>
      <c r="V45" s="1728"/>
      <c r="W45" s="437">
        <f>IF(DAY(Mai_Dim1)=1,IF(AND(YEAR(Mai_Dim1+13)=Année_Calendaire,MONTH(Mai_Dim1+13)=5),Mai_Dim1+13,""),IF(AND(YEAR(Mai_Dim1+20)=Année_Calendaire,MONTH(Mai_Dim1+20)=5),Mai_Dim1+20,""))</f>
        <v>43967</v>
      </c>
      <c r="X45" s="1728"/>
      <c r="Y45" s="437">
        <f>IF(DAY(Mai_Dim1)=1,IF(AND(YEAR(Mai_Dim1+20)=Année_Calendaire,MONTH(Mai_Dim1+20)=5),Mai_Dim1+20,""),IF(AND(YEAR(Mai_Dim1+27)=Année_Calendaire,MONTH(Mai_Dim1+27)=5),Mai_Dim1+27,""))</f>
        <v>43974</v>
      </c>
      <c r="Z45" s="1728"/>
      <c r="AA45" s="437">
        <f>IF(DAY(Mai_Dim1)=1,IF(AND(YEAR(Mai_Dim1+27)=Année_Calendaire,MONTH(Mai_Dim1+27)=5),Mai_Dim1+27,""),IF(AND(YEAR(Mai_Dim1+34)=Année_Calendaire,MONTH(Mai_Dim1+34)=5),Mai_Dim1+34,""))</f>
        <v>43981</v>
      </c>
      <c r="AB45" s="1728"/>
      <c r="AC45" s="438" t="s">
        <v>686</v>
      </c>
      <c r="AD45" s="439"/>
      <c r="AE45" s="466">
        <f>COUNTIF(S40:AD46,AF45)</f>
        <v>0</v>
      </c>
      <c r="AF45" s="1425" t="s">
        <v>356</v>
      </c>
      <c r="AG45" s="389"/>
      <c r="AH45" s="389"/>
      <c r="AJ45" s="389"/>
      <c r="AK45" s="389"/>
      <c r="AL45" s="389"/>
      <c r="AM45" s="389"/>
      <c r="AN45" s="389"/>
      <c r="AO45" s="389"/>
      <c r="AP45" s="389"/>
      <c r="AQ45" s="389"/>
      <c r="AR45" s="389"/>
      <c r="AS45" s="389"/>
      <c r="AT45" s="389"/>
      <c r="AU45" s="389"/>
      <c r="AV45" s="389"/>
      <c r="AW45" s="389"/>
      <c r="AX45" s="389"/>
      <c r="AZ45" s="394"/>
    </row>
    <row r="46" spans="1:52" s="357" customFormat="1" ht="13.5" customHeight="1" x14ac:dyDescent="0.25">
      <c r="A46" s="446"/>
      <c r="B46" s="1426" t="s">
        <v>572</v>
      </c>
      <c r="C46" s="1427">
        <f>IF(DAY(Avr_Dim1)=1,IF(AND(YEAR(Avr_Dim1)=Année_Calendaire,MONTH(Avr_Dim1)=4),Avr_Dim1,""),IF(AND(YEAR(Avr_Dim1+7)=Année_Calendaire,MONTH(Avr_Dim1+7)=4),Avr_Dim1+7,""))</f>
        <v>43926</v>
      </c>
      <c r="D46" s="1728"/>
      <c r="E46" s="442">
        <f>IF(DAY(Avr_Dim1)=1,IF(AND(YEAR(Avr_Dim1+7)=Année_Calendaire,MONTH(Avr_Dim1+7)=4),Avr_Dim1+7,""),IF(AND(YEAR(Avr_Dim1+14)=Année_Calendaire,MONTH(Avr_Dim1+14)=4),Avr_Dim1+14,""))</f>
        <v>43933</v>
      </c>
      <c r="F46" s="1728"/>
      <c r="G46" s="442">
        <f>IF(DAY(Avr_Dim1)=1,IF(AND(YEAR(Avr_Dim1+14)=Année_Calendaire,MONTH(Avr_Dim1+14)=4),Avr_Dim1+14,""),IF(AND(YEAR(Avr_Dim1+21)=Année_Calendaire,MONTH(Avr_Dim1+21)=4),Avr_Dim1+21,""))</f>
        <v>43940</v>
      </c>
      <c r="H46" s="1728"/>
      <c r="I46" s="442">
        <f>IF(DAY(Avr_Dim1)=1,IF(AND(YEAR(Avr_Dim1+21)=Année_Calendaire,MONTH(Avr_Dim1+21)=4),Avr_Dim1+21,""),IF(AND(YEAR(Avr_Dim1+28)=Année_Calendaire,MONTH(Avr_Dim1+28)=4),Avr_Dim1+28,""))</f>
        <v>43947</v>
      </c>
      <c r="J46" s="1728"/>
      <c r="K46" s="442" t="str">
        <f>IF(DAY(Avr_Dim1)=1,IF(AND(YEAR(Avr_Dim1+28)=Année_Calendaire,MONTH(Avr_Dim1+28)=4),Avr_Dim1+28,""),IF(AND(YEAR(Avr_Dim1+35)=Année_Calendaire,MONTH(Avr_Dim1+35)=4),Avr_Dim1+35,""))</f>
        <v/>
      </c>
      <c r="L46" s="1728"/>
      <c r="M46" s="1630">
        <f>IF(M43=0,0,M43/M44)</f>
        <v>0</v>
      </c>
      <c r="N46" s="1633"/>
      <c r="O46" s="468">
        <f>COUNTIF(C40:N46,P46)</f>
        <v>0</v>
      </c>
      <c r="P46" s="1428" t="s">
        <v>358</v>
      </c>
      <c r="Q46" s="1366"/>
      <c r="R46" s="441" t="s">
        <v>572</v>
      </c>
      <c r="S46" s="1427">
        <f>IF(DAY(Mai_Dim1)=1,IF(AND(YEAR(Mai_Dim1)=Année_Calendaire,MONTH(Mai_Dim1)=5),Mai_Dim1,""),IF(AND(YEAR(Mai_Dim1+7)=Année_Calendaire,MONTH(Mai_Dim1+7)=5),Mai_Dim1+7,""))</f>
        <v>43954</v>
      </c>
      <c r="T46" s="1728"/>
      <c r="U46" s="442">
        <f>IF(DAY(Mai_Dim1)=1,IF(AND(YEAR(Mai_Dim1+7)=Année_Calendaire,MONTH(Mai_Dim1+7)=5),Mai_Dim1+7,""),IF(AND(YEAR(Mai_Dim1+14)=Année_Calendaire,MONTH(Mai_Dim1+14)=5),Mai_Dim1+14,""))</f>
        <v>43961</v>
      </c>
      <c r="V46" s="1728"/>
      <c r="W46" s="442">
        <f>IF(DAY(Mai_Dim1)=1,IF(AND(YEAR(Mai_Dim1+14)=Année_Calendaire,MONTH(Mai_Dim1+14)=5),Mai_Dim1+14,""),IF(AND(YEAR(Mai_Dim1+21)=Année_Calendaire,MONTH(Mai_Dim1+21)=5),Mai_Dim1+21,""))</f>
        <v>43968</v>
      </c>
      <c r="X46" s="1728"/>
      <c r="Y46" s="442">
        <f>IF(DAY(Mai_Dim1)=1,IF(AND(YEAR(Mai_Dim1+21)=Année_Calendaire,MONTH(Mai_Dim1+21)=5),Mai_Dim1+21,""),IF(AND(YEAR(Mai_Dim1+28)=Année_Calendaire,MONTH(Mai_Dim1+28)=5),Mai_Dim1+28,""))</f>
        <v>43975</v>
      </c>
      <c r="Z46" s="1728"/>
      <c r="AA46" s="442">
        <f>IF(DAY(Mai_Dim1)=1,IF(AND(YEAR(Mai_Dim1+28)=Année_Calendaire,MONTH(Mai_Dim1+28)=5),Mai_Dim1+28,""),IF(AND(YEAR(Mai_Dim1+35)=Année_Calendaire,MONTH(Mai_Dim1+35)=5),Mai_Dim1+35,""))</f>
        <v>43982</v>
      </c>
      <c r="AB46" s="1728"/>
      <c r="AC46" s="1630">
        <f>IF(AC43=0,0,AC43/AC44)</f>
        <v>0</v>
      </c>
      <c r="AD46" s="1633"/>
      <c r="AE46" s="468">
        <f>COUNTIF(S40:AD46,AF46)</f>
        <v>0</v>
      </c>
      <c r="AF46" s="1429" t="s">
        <v>358</v>
      </c>
      <c r="AG46" s="389"/>
      <c r="AH46" s="389"/>
      <c r="AI46" s="743" t="s">
        <v>904</v>
      </c>
      <c r="AJ46" s="745" t="s">
        <v>902</v>
      </c>
      <c r="AK46" s="389"/>
      <c r="AL46" s="389"/>
      <c r="AM46" s="389"/>
      <c r="AN46" s="389"/>
      <c r="AO46" s="389"/>
      <c r="AP46" s="389"/>
      <c r="AQ46" s="389"/>
      <c r="AR46" s="389"/>
      <c r="AS46" s="389"/>
      <c r="AT46" s="389"/>
      <c r="AU46" s="389"/>
      <c r="AV46" s="389"/>
      <c r="AW46" s="389"/>
      <c r="AX46" s="389"/>
      <c r="AZ46" s="394"/>
    </row>
    <row r="47" spans="1:52" s="357" customFormat="1" ht="13.5" customHeight="1" x14ac:dyDescent="0.25">
      <c r="A47" s="446"/>
      <c r="B47" s="1430" t="s">
        <v>696</v>
      </c>
      <c r="C47" s="1636">
        <f>SUM(D40:D46)</f>
        <v>0</v>
      </c>
      <c r="D47" s="1613"/>
      <c r="E47" s="1612">
        <f>SUM(F40:F46)</f>
        <v>0</v>
      </c>
      <c r="F47" s="1613"/>
      <c r="G47" s="1612">
        <f>SUM(H40:H46)</f>
        <v>0</v>
      </c>
      <c r="H47" s="1613"/>
      <c r="I47" s="1612">
        <f>SUM(J40:J46)</f>
        <v>0</v>
      </c>
      <c r="J47" s="1613"/>
      <c r="K47" s="1612">
        <f>SUM(L40:L46)</f>
        <v>0</v>
      </c>
      <c r="L47" s="1613"/>
      <c r="M47" s="1612">
        <f>SUM(N40:N41)</f>
        <v>0</v>
      </c>
      <c r="N47" s="1613"/>
      <c r="O47" s="1612">
        <f>SUM(C47:N47)</f>
        <v>0</v>
      </c>
      <c r="P47" s="1613"/>
      <c r="Q47" s="1366"/>
      <c r="R47" s="1431" t="s">
        <v>696</v>
      </c>
      <c r="S47" s="1636">
        <f>SUM(T40:T46)</f>
        <v>0</v>
      </c>
      <c r="T47" s="1613"/>
      <c r="U47" s="1612">
        <f>SUM(V40:V46)</f>
        <v>0</v>
      </c>
      <c r="V47" s="1613"/>
      <c r="W47" s="1612">
        <f>SUM(X40:X46)</f>
        <v>0</v>
      </c>
      <c r="X47" s="1613"/>
      <c r="Y47" s="1612">
        <f>SUM(Z40:Z46)</f>
        <v>0</v>
      </c>
      <c r="Z47" s="1613"/>
      <c r="AA47" s="1612">
        <f>SUM(AB40:AB46)</f>
        <v>0</v>
      </c>
      <c r="AB47" s="1613"/>
      <c r="AC47" s="1612">
        <f>SUM(AD40:AD41)</f>
        <v>0</v>
      </c>
      <c r="AD47" s="1613"/>
      <c r="AE47" s="1612">
        <f>SUM(S47:AD47)</f>
        <v>0</v>
      </c>
      <c r="AF47" s="1614"/>
      <c r="AG47" s="389"/>
      <c r="AH47" s="389"/>
      <c r="AI47" s="744"/>
      <c r="AJ47" s="746" t="s">
        <v>903</v>
      </c>
      <c r="AK47" s="13"/>
      <c r="AL47" s="389"/>
      <c r="AM47" s="389"/>
      <c r="AN47" s="389"/>
      <c r="AO47" s="389"/>
      <c r="AP47" s="389"/>
      <c r="AQ47" s="389"/>
      <c r="AR47" s="389"/>
      <c r="AS47" s="389"/>
      <c r="AT47" s="389"/>
      <c r="AU47" s="389"/>
      <c r="AV47" s="389"/>
      <c r="AW47" s="389"/>
      <c r="AX47" s="389"/>
      <c r="AZ47" s="394"/>
    </row>
    <row r="48" spans="1:52" s="357" customFormat="1" ht="6.75" customHeight="1" x14ac:dyDescent="0.25">
      <c r="A48" s="446"/>
      <c r="B48" s="1390"/>
      <c r="C48" s="1373"/>
      <c r="D48" s="1373"/>
      <c r="E48" s="1373"/>
      <c r="F48" s="1373"/>
      <c r="G48" s="1373"/>
      <c r="H48" s="1373"/>
      <c r="I48" s="1373"/>
      <c r="J48" s="1373"/>
      <c r="K48" s="1373"/>
      <c r="L48" s="1373"/>
      <c r="M48" s="1373"/>
      <c r="N48" s="1373"/>
      <c r="O48" s="1373"/>
      <c r="P48" s="1373"/>
      <c r="Q48" s="1366"/>
      <c r="R48" s="1373"/>
      <c r="S48" s="1373"/>
      <c r="T48" s="1373"/>
      <c r="U48" s="1373"/>
      <c r="V48" s="1373"/>
      <c r="W48" s="1373"/>
      <c r="X48" s="1373"/>
      <c r="Y48" s="1373"/>
      <c r="Z48" s="1373"/>
      <c r="AA48" s="1373"/>
      <c r="AB48" s="1373"/>
      <c r="AC48" s="1373"/>
      <c r="AD48" s="1373"/>
      <c r="AE48" s="1373"/>
      <c r="AF48" s="1391"/>
      <c r="AG48" s="389"/>
      <c r="AH48" s="389"/>
      <c r="AI48" s="389"/>
      <c r="AJ48" s="389"/>
      <c r="AK48" s="389"/>
      <c r="AL48" s="389"/>
      <c r="AM48" s="389"/>
      <c r="AN48" s="389"/>
      <c r="AO48" s="389"/>
      <c r="AP48" s="389"/>
      <c r="AQ48" s="389"/>
      <c r="AR48" s="389"/>
      <c r="AS48" s="389"/>
      <c r="AT48" s="389"/>
      <c r="AU48" s="389"/>
      <c r="AV48" s="389"/>
      <c r="AW48" s="389"/>
      <c r="AX48" s="389"/>
      <c r="AZ48" s="394"/>
    </row>
    <row r="49" spans="1:52" s="357" customFormat="1" ht="15" customHeight="1" x14ac:dyDescent="0.25">
      <c r="A49" s="446"/>
      <c r="B49" s="1615">
        <f>C57</f>
        <v>43989</v>
      </c>
      <c r="C49" s="1616"/>
      <c r="D49" s="1616"/>
      <c r="E49" s="1366"/>
      <c r="F49" s="1366"/>
      <c r="G49" s="1366"/>
      <c r="H49" s="1366"/>
      <c r="I49" s="1366"/>
      <c r="J49" s="1366"/>
      <c r="K49" s="1432"/>
      <c r="L49" s="1366"/>
      <c r="M49" s="1366"/>
      <c r="N49" s="1366"/>
      <c r="O49" s="1366"/>
      <c r="P49" s="1366"/>
      <c r="Q49" s="1366"/>
      <c r="R49" s="1615">
        <f>S57</f>
        <v>44017</v>
      </c>
      <c r="S49" s="1616"/>
      <c r="T49" s="1616"/>
      <c r="U49" s="1366"/>
      <c r="V49" s="1366"/>
      <c r="W49" s="1366"/>
      <c r="X49" s="1366"/>
      <c r="Y49" s="1366"/>
      <c r="Z49" s="1366"/>
      <c r="AA49" s="1366"/>
      <c r="AB49" s="1366"/>
      <c r="AC49" s="1366"/>
      <c r="AD49" s="1366"/>
      <c r="AE49" s="1366"/>
      <c r="AF49" s="1393"/>
      <c r="AG49" s="389"/>
      <c r="AH49" s="389"/>
      <c r="AI49" s="389"/>
      <c r="AJ49" s="389"/>
      <c r="AK49" s="13"/>
      <c r="AL49" s="389"/>
      <c r="AM49" s="389"/>
      <c r="AN49" s="389"/>
      <c r="AO49" s="389"/>
      <c r="AP49" s="389"/>
      <c r="AQ49" s="389"/>
      <c r="AR49" s="389"/>
      <c r="AS49" s="389"/>
      <c r="AT49" s="389"/>
      <c r="AU49" s="389"/>
      <c r="AV49" s="389"/>
      <c r="AW49" s="389"/>
      <c r="AX49" s="389"/>
      <c r="AZ49" s="394"/>
    </row>
    <row r="50" spans="1:52" ht="7.5" customHeight="1" x14ac:dyDescent="0.25">
      <c r="B50" s="1433" t="s">
        <v>691</v>
      </c>
      <c r="C50" s="1403"/>
      <c r="D50" s="1399">
        <f>COUNTIF(D51:D57,"&gt;0")</f>
        <v>0</v>
      </c>
      <c r="E50" s="1398"/>
      <c r="F50" s="1399">
        <f>COUNTIF(F51:F57,"&gt;0")</f>
        <v>0</v>
      </c>
      <c r="G50" s="1398"/>
      <c r="H50" s="1399">
        <f>COUNTIF(H51:H57,"&gt;0")</f>
        <v>0</v>
      </c>
      <c r="I50" s="1398"/>
      <c r="J50" s="1399">
        <f>COUNTIF(J51:J57,"&gt;0")</f>
        <v>0</v>
      </c>
      <c r="K50" s="1398"/>
      <c r="L50" s="1399">
        <f>COUNTIF(L51:L57,"&gt;0")</f>
        <v>0</v>
      </c>
      <c r="M50" s="1398"/>
      <c r="N50" s="1399">
        <f>COUNTIF(N51:N52,"&gt;0")</f>
        <v>0</v>
      </c>
      <c r="O50" s="1404"/>
      <c r="P50" s="1404"/>
      <c r="Q50" s="1366"/>
      <c r="R50" s="1402" t="s">
        <v>691</v>
      </c>
      <c r="S50" s="1403"/>
      <c r="T50" s="1399">
        <f>COUNTIF(T51:T57,"&gt;0")</f>
        <v>0</v>
      </c>
      <c r="U50" s="1398"/>
      <c r="V50" s="1399">
        <f>COUNTIF(V51:V57,"&gt;0")</f>
        <v>0</v>
      </c>
      <c r="W50" s="1398"/>
      <c r="X50" s="1399">
        <f>COUNTIF(X51:X57,"&gt;0")</f>
        <v>0</v>
      </c>
      <c r="Y50" s="1398"/>
      <c r="Z50" s="1399">
        <f>COUNTIF(Z51:Z57,"&gt;0")</f>
        <v>0</v>
      </c>
      <c r="AA50" s="1398"/>
      <c r="AB50" s="1399">
        <f>COUNTIF(AB51:AB57,"&gt;0")</f>
        <v>0</v>
      </c>
      <c r="AC50" s="1398"/>
      <c r="AD50" s="1399">
        <f>COUNTIF(AD51:AD52,"&gt;0")</f>
        <v>0</v>
      </c>
      <c r="AE50" s="1404"/>
      <c r="AF50" s="1405"/>
      <c r="AG50" s="386"/>
      <c r="AH50" s="386"/>
      <c r="AI50" s="744"/>
      <c r="AJ50" s="477"/>
      <c r="AK50" s="13"/>
      <c r="AL50" s="477"/>
      <c r="AM50" s="477"/>
      <c r="AN50" s="477"/>
      <c r="AO50" s="477"/>
      <c r="AP50" s="386"/>
      <c r="AQ50" s="386"/>
      <c r="AR50" s="386"/>
      <c r="AS50" s="386"/>
      <c r="AT50" s="386"/>
      <c r="AU50" s="386"/>
      <c r="AV50" s="386"/>
      <c r="AW50" s="386"/>
      <c r="AX50" s="386"/>
    </row>
    <row r="51" spans="1:52" ht="13.5" customHeight="1" x14ac:dyDescent="0.25">
      <c r="B51" s="1406" t="s">
        <v>567</v>
      </c>
      <c r="C51" s="1407">
        <f>IF(DAY(Juin_Dim1)=1,"",IF(AND(YEAR(Juin_Dim1+1)=Année_Calendaire,MONTH(Juin_Dim1+1)=6),Juin_Dim1+1,""))</f>
        <v>43983</v>
      </c>
      <c r="D51" s="1728"/>
      <c r="E51" s="1408">
        <f>IF(DAY(Juin_Dim1)=1,IF(AND(YEAR(Juin_Dim1+1)=Année_Calendaire,MONTH(Juin_Dim1+1)=6),Juin_Dim1+1,""),IF(AND(YEAR(Juin_Dim1+8)=Année_Calendaire,MONTH(Juin_Dim1+8)=6),Juin_Dim1+8,""))</f>
        <v>43990</v>
      </c>
      <c r="F51" s="1728"/>
      <c r="G51" s="1409">
        <f>IF(DAY(Juin_Dim1)=1,IF(AND(YEAR(Juin_Dim1+8)=Année_Calendaire,MONTH(Juin_Dim1+8)=6),Juin_Dim1+8,""),IF(AND(YEAR(Juin_Dim1+15)=Année_Calendaire,MONTH(Juin_Dim1+15)=6),Juin_Dim1+15,""))</f>
        <v>43997</v>
      </c>
      <c r="H51" s="1728"/>
      <c r="I51" s="1409">
        <f>IF(DAY(Juin_Dim1)=1,IF(AND(YEAR(Juin_Dim1+15)=Année_Calendaire,MONTH(Juin_Dim1+15)=6),Juin_Dim1+15,""),IF(AND(YEAR(Juin_Dim1+22)=Année_Calendaire,MONTH(Juin_Dim1+22)=6),Juin_Dim1+22,""))</f>
        <v>44004</v>
      </c>
      <c r="J51" s="1728"/>
      <c r="K51" s="1409">
        <f>IF(DAY(Juin_Dim1)=1,IF(AND(YEAR(Juin_Dim1+22)=Année_Calendaire,MONTH(Juin_Dim1+22)=6),Juin_Dim1+22,""),IF(AND(YEAR(Juin_Dim1+29)=Année_Calendaire,MONTH(Juin_Dim1+29)=6),Juin_Dim1+29,""))</f>
        <v>44011</v>
      </c>
      <c r="L51" s="1728"/>
      <c r="M51" s="1409" t="str">
        <f>IF(DAY(Juin_Dim1)=1,IF(AND(YEAR(Juin_Dim1+29)=Année_Calendaire,MONTH(Juin_Dim1+29)=6),Juin_Dim1+29,""),IF(AND(YEAR(Juin_Dim1+36)=Année_Calendaire,MONTH(Juin_Dim1+36)=6),Juin_Dim1+36,""))</f>
        <v/>
      </c>
      <c r="N51" s="1728"/>
      <c r="O51" s="1410">
        <f>COUNTIF(C51:N57,P51)</f>
        <v>0</v>
      </c>
      <c r="P51" s="1411" t="s">
        <v>37</v>
      </c>
      <c r="Q51" s="1366"/>
      <c r="R51" s="1412" t="s">
        <v>567</v>
      </c>
      <c r="S51" s="1407" t="str">
        <f>IF(DAY(Juil_Dim1)=1,"",IF(AND(YEAR(Juil_Dim1+1)=Année_Calendaire,MONTH(Juil_Dim1+1)=7),Juil_Dim1+1,""))</f>
        <v/>
      </c>
      <c r="T51" s="1728"/>
      <c r="U51" s="1408">
        <f>IF(DAY(Juil_Dim1)=1,IF(AND(YEAR(Juil_Dim1+1)=Année_Calendaire,MONTH(Juil_Dim1+1)=7),Juil_Dim1+1,""),IF(AND(YEAR(Juil_Dim1+8)=Année_Calendaire,MONTH(Juil_Dim1+8)=7),Juil_Dim1+8,""))</f>
        <v>44018</v>
      </c>
      <c r="V51" s="1728"/>
      <c r="W51" s="1409">
        <f>IF(DAY(Juil_Dim1)=1,IF(AND(YEAR(Juil_Dim1+8)=Année_Calendaire,MONTH(Juil_Dim1+8)=7),Juil_Dim1+8,""),IF(AND(YEAR(Juil_Dim1+15)=Année_Calendaire,MONTH(Juil_Dim1+15)=7),Juil_Dim1+15,""))</f>
        <v>44025</v>
      </c>
      <c r="X51" s="1728"/>
      <c r="Y51" s="1409">
        <f>IF(DAY(Juil_Dim1)=1,IF(AND(YEAR(Juil_Dim1+15)=Année_Calendaire,MONTH(Juil_Dim1+15)=7),Juil_Dim1+15,""),IF(AND(YEAR(Juil_Dim1+22)=Année_Calendaire,MONTH(Juil_Dim1+22)=7),Juil_Dim1+22,""))</f>
        <v>44032</v>
      </c>
      <c r="Z51" s="1728"/>
      <c r="AA51" s="1409">
        <f>IF(DAY(Juil_Dim1)=1,IF(AND(YEAR(Juil_Dim1+22)=Année_Calendaire,MONTH(Juil_Dim1+22)=7),Juil_Dim1+22,""),IF(AND(YEAR(Juil_Dim1+29)=Année_Calendaire,MONTH(Juil_Dim1+29)=7),Juil_Dim1+29,""))</f>
        <v>44039</v>
      </c>
      <c r="AB51" s="1728"/>
      <c r="AC51" s="1409" t="str">
        <f>IF(DAY(Juil_Dim1)=1,IF(AND(YEAR(Juil_Dim1+29)=Année_Calendaire,MONTH(Juil_Dim1+29)=7),Juil_Dim1+29,""),IF(AND(YEAR(Juil_Dim1+36)=Année_Calendaire,MONTH(Juil_Dim1+36)=7),Juil_Dim1+36,""))</f>
        <v/>
      </c>
      <c r="AD51" s="1728"/>
      <c r="AE51" s="1410">
        <f>COUNTIF(S51:AD57,AF51)</f>
        <v>0</v>
      </c>
      <c r="AF51" s="1413" t="s">
        <v>37</v>
      </c>
      <c r="AG51" s="386"/>
      <c r="AH51" s="386"/>
      <c r="AI51" s="477"/>
      <c r="AJ51" s="477"/>
      <c r="AK51" s="477"/>
      <c r="AL51" s="477"/>
      <c r="AM51" s="477"/>
      <c r="AN51" s="477"/>
      <c r="AO51" s="477"/>
      <c r="AP51" s="386"/>
      <c r="AQ51" s="386"/>
      <c r="AR51" s="386"/>
      <c r="AS51" s="386"/>
      <c r="AT51" s="386"/>
      <c r="AU51" s="386"/>
      <c r="AV51" s="386"/>
      <c r="AW51" s="386"/>
      <c r="AX51" s="386"/>
    </row>
    <row r="52" spans="1:52" s="377" customFormat="1" ht="13.5" customHeight="1" x14ac:dyDescent="0.25">
      <c r="A52" s="357"/>
      <c r="B52" s="1414" t="s">
        <v>568</v>
      </c>
      <c r="C52" s="1415">
        <f>IF(DAY(Juin_Dim1)=1,"",IF(AND(YEAR(Juin_Dim1+2)=Année_Calendaire,MONTH(Juin_Dim1+2)=6),Juin_Dim1+2,""))</f>
        <v>43984</v>
      </c>
      <c r="D52" s="1728"/>
      <c r="E52" s="428">
        <f>IF(DAY(Juin_Dim1)=1,IF(AND(YEAR(Juin_Dim1+2)=Année_Calendaire,MONTH(Juin_Dim1+2)=6),Juin_Dim1+2,""),IF(AND(YEAR(Juin_Dim1+9)=Année_Calendaire,MONTH(Juin_Dim1+9)=6),Juin_Dim1+9,""))</f>
        <v>43991</v>
      </c>
      <c r="F52" s="1728"/>
      <c r="G52" s="428">
        <f>IF(DAY(Juin_Dim1)=1,IF(AND(YEAR(Juin_Dim1+9)=Année_Calendaire,MONTH(Juin_Dim1+9)=6),Juin_Dim1+9,""),IF(AND(YEAR(Juin_Dim1+16)=Année_Calendaire,MONTH(Juin_Dim1+16)=6),Juin_Dim1+16,""))</f>
        <v>43998</v>
      </c>
      <c r="H52" s="1728"/>
      <c r="I52" s="428">
        <f>IF(DAY(Juin_Dim1)=1,IF(AND(YEAR(Juin_Dim1+16)=Année_Calendaire,MONTH(Juin_Dim1+16)=6),Juin_Dim1+16,""),IF(AND(YEAR(Juin_Dim1+23)=Année_Calendaire,MONTH(Juin_Dim1+23)=6),Juin_Dim1+23,""))</f>
        <v>44005</v>
      </c>
      <c r="J52" s="1728"/>
      <c r="K52" s="428">
        <f>IF(DAY(Juin_Dim1)=1,IF(AND(YEAR(Juin_Dim1+23)=Année_Calendaire,MONTH(Juin_Dim1+23)=6),Juin_Dim1+23,""),IF(AND(YEAR(Juin_Dim1+30)=Année_Calendaire,MONTH(Juin_Dim1+30)=6),Juin_Dim1+30,""))</f>
        <v>44012</v>
      </c>
      <c r="L52" s="1728"/>
      <c r="M52" s="429" t="str">
        <f>IF(DAY(Juin_Dim1)=1,IF(AND(YEAR(Juin_Dim1+30)=Année_Calendaire,MONTH(Juin_Dim1+30)=6),Juin_Dim1+30,""),IF(AND(YEAR(Juin_Dim1+37)=Année_Calendaire,MONTH(Juin_Dim1+37)=6),Juin_Dim1+37,""))</f>
        <v/>
      </c>
      <c r="N52" s="1728"/>
      <c r="O52" s="458">
        <f>COUNTIF(C51:N57,P52)</f>
        <v>0</v>
      </c>
      <c r="P52" s="459" t="s">
        <v>368</v>
      </c>
      <c r="Q52" s="1366"/>
      <c r="R52" s="427" t="s">
        <v>568</v>
      </c>
      <c r="S52" s="1415" t="str">
        <f>IF(DAY(Juil_Dim1)=1,"",IF(AND(YEAR(Juil_Dim1+2)=Année_Calendaire,MONTH(Juil_Dim1+2)=7),Juil_Dim1+2,""))</f>
        <v/>
      </c>
      <c r="T52" s="1728"/>
      <c r="U52" s="428">
        <f>IF(DAY(Juil_Dim1)=1,IF(AND(YEAR(Juil_Dim1+2)=Année_Calendaire,MONTH(Juil_Dim1+2)=7),Juil_Dim1+2,""),IF(AND(YEAR(Juil_Dim1+9)=Année_Calendaire,MONTH(Juil_Dim1+9)=7),Juil_Dim1+9,""))</f>
        <v>44019</v>
      </c>
      <c r="V52" s="1728"/>
      <c r="W52" s="428">
        <f>IF(DAY(Juil_Dim1)=1,IF(AND(YEAR(Juil_Dim1+9)=Année_Calendaire,MONTH(Juil_Dim1+9)=7),Juil_Dim1+9,""),IF(AND(YEAR(Juil_Dim1+16)=Année_Calendaire,MONTH(Juil_Dim1+16)=7),Juil_Dim1+16,""))</f>
        <v>44026</v>
      </c>
      <c r="X52" s="1728"/>
      <c r="Y52" s="428">
        <f>IF(DAY(Juil_Dim1)=1,IF(AND(YEAR(Juil_Dim1+16)=Année_Calendaire,MONTH(Juil_Dim1+16)=7),Juil_Dim1+16,""),IF(AND(YEAR(Juil_Dim1+23)=Année_Calendaire,MONTH(Juil_Dim1+23)=7),Juil_Dim1+23,""))</f>
        <v>44033</v>
      </c>
      <c r="Z52" s="1728"/>
      <c r="AA52" s="428">
        <f>IF(DAY(Juil_Dim1)=1,IF(AND(YEAR(Juil_Dim1+23)=Année_Calendaire,MONTH(Juil_Dim1+23)=7),Juil_Dim1+23,""),IF(AND(YEAR(Juil_Dim1+30)=Année_Calendaire,MONTH(Juil_Dim1+30)=7),Juil_Dim1+30,""))</f>
        <v>44040</v>
      </c>
      <c r="AB52" s="1728"/>
      <c r="AC52" s="429" t="str">
        <f>IF(DAY(Juil_Dim1)=1,IF(AND(YEAR(Juil_Dim1+30)=Année_Calendaire,MONTH(Juil_Dim1+30)=7),Juil_Dim1+30,""),IF(AND(YEAR(Juil_Dim1+37)=Année_Calendaire,MONTH(Juil_Dim1+37)=7),Juil_Dim1+37,""))</f>
        <v/>
      </c>
      <c r="AD52" s="1728"/>
      <c r="AE52" s="458">
        <f>COUNTIF(S51:AD57,AF52)</f>
        <v>0</v>
      </c>
      <c r="AF52" s="1416" t="s">
        <v>368</v>
      </c>
      <c r="AG52" s="389"/>
      <c r="AH52" s="389"/>
      <c r="AI52" s="477"/>
      <c r="AJ52" s="477"/>
      <c r="AK52" s="477"/>
      <c r="AL52" s="477"/>
      <c r="AM52" s="477"/>
      <c r="AN52" s="477"/>
      <c r="AO52" s="477"/>
      <c r="AP52" s="389"/>
      <c r="AQ52" s="389"/>
      <c r="AR52" s="389"/>
      <c r="AS52" s="388"/>
      <c r="AT52" s="388"/>
      <c r="AU52" s="386"/>
      <c r="AV52" s="386"/>
      <c r="AW52" s="388"/>
      <c r="AX52" s="388"/>
      <c r="AZ52" s="394"/>
    </row>
    <row r="53" spans="1:52" s="377" customFormat="1" ht="13.5" customHeight="1" x14ac:dyDescent="0.25">
      <c r="A53" s="446"/>
      <c r="B53" s="1414" t="s">
        <v>569</v>
      </c>
      <c r="C53" s="1415">
        <f>IF(DAY(Juin_Dim1)=1,"",IF(AND(YEAR(Juin_Dim1+3)=Année_Calendaire,MONTH(Juin_Dim1+3)=6),Juin_Dim1+3,""))</f>
        <v>43985</v>
      </c>
      <c r="D53" s="1728"/>
      <c r="E53" s="428">
        <f>IF(DAY(Juin_Dim1)=1,IF(AND(YEAR(Juin_Dim1+3)=Année_Calendaire,MONTH(Juin_Dim1+3)=6),Juin_Dim1+3,""),IF(AND(YEAR(Juin_Dim1+10)=Année_Calendaire,MONTH(Juin_Dim1+10)=6),Juin_Dim1+10,""))</f>
        <v>43992</v>
      </c>
      <c r="F53" s="1728"/>
      <c r="G53" s="428">
        <f>IF(DAY(Juin_Dim1)=1,IF(AND(YEAR(Juin_Dim1+10)=Année_Calendaire,MONTH(Juin_Dim1+10)=6),Juin_Dim1+10,""),IF(AND(YEAR(Juin_Dim1+17)=Année_Calendaire,MONTH(Juin_Dim1+17)=6),Juin_Dim1+17,""))</f>
        <v>43999</v>
      </c>
      <c r="H53" s="1728"/>
      <c r="I53" s="428">
        <f>IF(DAY(Juin_Dim1)=1,IF(AND(YEAR(Juin_Dim1+17)=Année_Calendaire,MONTH(Juin_Dim1+17)=6),Juin_Dim1+17,""),IF(AND(YEAR(Juin_Dim1+24)=Année_Calendaire,MONTH(Juin_Dim1+24)=6),Juin_Dim1+24,""))</f>
        <v>44006</v>
      </c>
      <c r="J53" s="1728"/>
      <c r="K53" s="428" t="str">
        <f>IF(DAY(Juin_Dim1)=1,IF(AND(YEAR(Juin_Dim1+24)=Année_Calendaire,MONTH(Juin_Dim1+24)=6),Juin_Dim1+24,""),IF(AND(YEAR(Juin_Dim1+31)=Année_Calendaire,MONTH(Juin_Dim1+31)=6),Juin_Dim1+31,""))</f>
        <v/>
      </c>
      <c r="L53" s="1728"/>
      <c r="M53" s="1417" t="s">
        <v>685</v>
      </c>
      <c r="N53" s="1418"/>
      <c r="O53" s="460">
        <f>COUNTIF(C51:N57,P53)</f>
        <v>0</v>
      </c>
      <c r="P53" s="461" t="s">
        <v>7</v>
      </c>
      <c r="Q53" s="1366"/>
      <c r="R53" s="427" t="s">
        <v>569</v>
      </c>
      <c r="S53" s="1415">
        <f>IF(DAY(Juil_Dim1)=1,"",IF(AND(YEAR(Juil_Dim1+3)=Année_Calendaire,MONTH(Juil_Dim1+3)=7),Juil_Dim1+3,""))</f>
        <v>44013</v>
      </c>
      <c r="T53" s="1728"/>
      <c r="U53" s="428">
        <f>IF(DAY(Juil_Dim1)=1,IF(AND(YEAR(Juil_Dim1+3)=Année_Calendaire,MONTH(Juil_Dim1+3)=7),Juil_Dim1+3,""),IF(AND(YEAR(Juil_Dim1+10)=Année_Calendaire,MONTH(Juil_Dim1+10)=7),Juil_Dim1+10,""))</f>
        <v>44020</v>
      </c>
      <c r="V53" s="1728"/>
      <c r="W53" s="428">
        <f>IF(DAY(Juil_Dim1)=1,IF(AND(YEAR(Juil_Dim1+10)=Année_Calendaire,MONTH(Juil_Dim1+10)=7),Juil_Dim1+10,""),IF(AND(YEAR(Juil_Dim1+17)=Année_Calendaire,MONTH(Juil_Dim1+17)=7),Juil_Dim1+17,""))</f>
        <v>44027</v>
      </c>
      <c r="X53" s="1728"/>
      <c r="Y53" s="428">
        <f>IF(DAY(Juil_Dim1)=1,IF(AND(YEAR(Juil_Dim1+17)=Année_Calendaire,MONTH(Juil_Dim1+17)=7),Juil_Dim1+17,""),IF(AND(YEAR(Juil_Dim1+24)=Année_Calendaire,MONTH(Juil_Dim1+24)=7),Juil_Dim1+24,""))</f>
        <v>44034</v>
      </c>
      <c r="Z53" s="1728"/>
      <c r="AA53" s="428">
        <f>IF(DAY(Juil_Dim1)=1,IF(AND(YEAR(Juil_Dim1+24)=Année_Calendaire,MONTH(Juil_Dim1+24)=7),Juil_Dim1+24,""),IF(AND(YEAR(Juil_Dim1+31)=Année_Calendaire,MONTH(Juil_Dim1+31)=7),Juil_Dim1+31,""))</f>
        <v>44041</v>
      </c>
      <c r="AB53" s="1728"/>
      <c r="AC53" s="1417" t="s">
        <v>685</v>
      </c>
      <c r="AD53" s="1418"/>
      <c r="AE53" s="460">
        <f>COUNTIF(S51:AD57,AF53)</f>
        <v>0</v>
      </c>
      <c r="AF53" s="1419" t="s">
        <v>7</v>
      </c>
      <c r="AG53" s="388"/>
      <c r="AH53" s="388"/>
      <c r="AI53" s="477"/>
      <c r="AJ53" s="477"/>
      <c r="AK53" s="477"/>
      <c r="AL53" s="477"/>
      <c r="AM53" s="477"/>
      <c r="AN53" s="477"/>
      <c r="AO53" s="477"/>
      <c r="AP53" s="388"/>
      <c r="AQ53" s="388"/>
      <c r="AR53" s="388"/>
      <c r="AS53" s="388"/>
      <c r="AT53" s="388"/>
      <c r="AU53" s="386"/>
      <c r="AV53" s="386"/>
      <c r="AW53" s="388"/>
      <c r="AX53" s="388"/>
      <c r="AZ53" s="394"/>
    </row>
    <row r="54" spans="1:52" s="357" customFormat="1" ht="13.5" customHeight="1" x14ac:dyDescent="0.25">
      <c r="A54" s="446"/>
      <c r="B54" s="1414" t="s">
        <v>556</v>
      </c>
      <c r="C54" s="1415">
        <f>IF(DAY(Juin_Dim1)=1,"",IF(AND(YEAR(Juin_Dim1+4)=Année_Calendaire,MONTH(Juin_Dim1+4)=6),Juin_Dim1+4,""))</f>
        <v>43986</v>
      </c>
      <c r="D54" s="1728"/>
      <c r="E54" s="428">
        <f>IF(DAY(Juin_Dim1)=1,IF(AND(YEAR(Juin_Dim1+4)=Année_Calendaire,MONTH(Juin_Dim1+4)=6),Juin_Dim1+4,""),IF(AND(YEAR(Juin_Dim1+11)=Année_Calendaire,MONTH(Juin_Dim1+11)=6),Juin_Dim1+11,""))</f>
        <v>43993</v>
      </c>
      <c r="F54" s="1728"/>
      <c r="G54" s="428">
        <f>IF(DAY(Juin_Dim1)=1,IF(AND(YEAR(Juin_Dim1+11)=Année_Calendaire,MONTH(Juin_Dim1+11)=6),Juin_Dim1+11,""),IF(AND(YEAR(Juin_Dim1+18)=Année_Calendaire,MONTH(Juin_Dim1+18)=6),Juin_Dim1+18,""))</f>
        <v>44000</v>
      </c>
      <c r="H54" s="1728"/>
      <c r="I54" s="428">
        <f>IF(DAY(Juin_Dim1)=1,IF(AND(YEAR(Juin_Dim1+18)=Année_Calendaire,MONTH(Juin_Dim1+18)=6),Juin_Dim1+18,""),IF(AND(YEAR(Juin_Dim1+25)=Année_Calendaire,MONTH(Juin_Dim1+25)=6),Juin_Dim1+25,""))</f>
        <v>44007</v>
      </c>
      <c r="J54" s="1728"/>
      <c r="K54" s="428" t="str">
        <f>IF(DAY(Juin_Dim1)=1,IF(AND(YEAR(Juin_Dim1+25)=Année_Calendaire,MONTH(Juin_Dim1+25)=6),Juin_Dim1+25,""),IF(AND(YEAR(Juin_Dim1+32)=Année_Calendaire,MONTH(Juin_Dim1+32)=6),Juin_Dim1+32,""))</f>
        <v/>
      </c>
      <c r="L54" s="1728"/>
      <c r="M54" s="1628">
        <f>SUM(D51:D57,F51:F57,H51:H57,J51:J57,L51:L57,N51:N52)</f>
        <v>0</v>
      </c>
      <c r="N54" s="1629"/>
      <c r="O54" s="462">
        <f>COUNTIF(C51:N57,P54)</f>
        <v>0</v>
      </c>
      <c r="P54" s="463" t="s">
        <v>373</v>
      </c>
      <c r="Q54" s="1366"/>
      <c r="R54" s="427" t="s">
        <v>556</v>
      </c>
      <c r="S54" s="1415">
        <f>IF(DAY(Juil_Dim1)=1,"",IF(AND(YEAR(Juil_Dim1+4)=Année_Calendaire,MONTH(Juil_Dim1+4)=7),Juil_Dim1+4,""))</f>
        <v>44014</v>
      </c>
      <c r="T54" s="1728"/>
      <c r="U54" s="428">
        <f>IF(DAY(Juil_Dim1)=1,IF(AND(YEAR(Juil_Dim1+4)=Année_Calendaire,MONTH(Juil_Dim1+4)=7),Juil_Dim1+4,""),IF(AND(YEAR(Juil_Dim1+11)=Année_Calendaire,MONTH(Juil_Dim1+11)=7),Juil_Dim1+11,""))</f>
        <v>44021</v>
      </c>
      <c r="V54" s="1728"/>
      <c r="W54" s="428">
        <f>IF(DAY(Juil_Dim1)=1,IF(AND(YEAR(Juil_Dim1+11)=Année_Calendaire,MONTH(Juil_Dim1+11)=7),Juil_Dim1+11,""),IF(AND(YEAR(Juil_Dim1+18)=Année_Calendaire,MONTH(Juil_Dim1+18)=7),Juil_Dim1+18,""))</f>
        <v>44028</v>
      </c>
      <c r="X54" s="1728"/>
      <c r="Y54" s="428">
        <f>IF(DAY(Juil_Dim1)=1,IF(AND(YEAR(Juil_Dim1+18)=Année_Calendaire,MONTH(Juil_Dim1+18)=7),Juil_Dim1+18,""),IF(AND(YEAR(Juil_Dim1+25)=Année_Calendaire,MONTH(Juil_Dim1+25)=7),Juil_Dim1+25,""))</f>
        <v>44035</v>
      </c>
      <c r="Z54" s="1728"/>
      <c r="AA54" s="428">
        <f>IF(DAY(Juil_Dim1)=1,IF(AND(YEAR(Juil_Dim1+25)=Année_Calendaire,MONTH(Juil_Dim1+25)=7),Juil_Dim1+25,""),IF(AND(YEAR(Juil_Dim1+32)=Année_Calendaire,MONTH(Juil_Dim1+32)=7),Juil_Dim1+32,""))</f>
        <v>44042</v>
      </c>
      <c r="AB54" s="1728"/>
      <c r="AC54" s="1628">
        <f>SUM(T51:T57,V51:V57,X51:X57,Z51:Z57,AB51:AB57,AD51:AD52)</f>
        <v>0</v>
      </c>
      <c r="AD54" s="1629"/>
      <c r="AE54" s="462">
        <f>COUNTIF(S51:AD57,AF54)</f>
        <v>0</v>
      </c>
      <c r="AF54" s="1421" t="s">
        <v>373</v>
      </c>
      <c r="AG54" s="388"/>
      <c r="AH54" s="388"/>
      <c r="AI54" s="477"/>
      <c r="AJ54" s="477"/>
      <c r="AK54" s="477"/>
      <c r="AL54" s="477"/>
      <c r="AM54" s="477"/>
      <c r="AN54" s="477"/>
      <c r="AO54" s="477"/>
      <c r="AP54" s="388"/>
      <c r="AQ54" s="388"/>
      <c r="AR54" s="388"/>
      <c r="AS54" s="389"/>
      <c r="AT54" s="389"/>
      <c r="AU54" s="386"/>
      <c r="AV54" s="386"/>
      <c r="AW54" s="389"/>
      <c r="AX54" s="389"/>
      <c r="AZ54" s="394"/>
    </row>
    <row r="55" spans="1:52" s="357" customFormat="1" ht="13.5" customHeight="1" x14ac:dyDescent="0.25">
      <c r="A55" s="446"/>
      <c r="B55" s="1414" t="s">
        <v>570</v>
      </c>
      <c r="C55" s="1415">
        <f>IF(DAY(Juin_Dim1)=1,"",IF(AND(YEAR(Juin_Dim1+5)=Année_Calendaire,MONTH(Juin_Dim1+5)=6),Juin_Dim1+5,""))</f>
        <v>43987</v>
      </c>
      <c r="D55" s="1728"/>
      <c r="E55" s="428">
        <f>IF(DAY(Juin_Dim1)=1,IF(AND(YEAR(Juin_Dim1+5)=Année_Calendaire,MONTH(Juin_Dim1+5)=6),Juin_Dim1+5,""),IF(AND(YEAR(Juin_Dim1+12)=Année_Calendaire,MONTH(Juin_Dim1+12)=6),Juin_Dim1+12,""))</f>
        <v>43994</v>
      </c>
      <c r="F55" s="1728"/>
      <c r="G55" s="428">
        <f>IF(DAY(Juin_Dim1)=1,IF(AND(YEAR(Juin_Dim1+12)=Année_Calendaire,MONTH(Juin_Dim1+12)=6),Juin_Dim1+12,""),IF(AND(YEAR(Juin_Dim1+19)=Année_Calendaire,MONTH(Juin_Dim1+19)=6),Juin_Dim1+19,""))</f>
        <v>44001</v>
      </c>
      <c r="H55" s="1728"/>
      <c r="I55" s="428">
        <f>IF(DAY(Juin_Dim1)=1,IF(AND(YEAR(Juin_Dim1+19)=Année_Calendaire,MONTH(Juin_Dim1+19)=6),Juin_Dim1+19,""),IF(AND(YEAR(Juin_Dim1+26)=Année_Calendaire,MONTH(Juin_Dim1+26)=6),Juin_Dim1+26,""))</f>
        <v>44008</v>
      </c>
      <c r="J55" s="1728"/>
      <c r="K55" s="428" t="str">
        <f>IF(DAY(Juin_Dim1)=1,IF(AND(YEAR(Juin_Dim1+26)=Année_Calendaire,MONTH(Juin_Dim1+26)=6),Juin_Dim1+26,""),IF(AND(YEAR(Juin_Dim1+33)=Année_Calendaire,MONTH(Juin_Dim1+33)=6),Juin_Dim1+33,""))</f>
        <v/>
      </c>
      <c r="L55" s="1728"/>
      <c r="M55" s="433">
        <f>SUM(D50:N50)</f>
        <v>0</v>
      </c>
      <c r="N55" s="434" t="s">
        <v>387</v>
      </c>
      <c r="O55" s="464">
        <f>COUNTIF(C51:N57,P55)</f>
        <v>0</v>
      </c>
      <c r="P55" s="465" t="s">
        <v>8</v>
      </c>
      <c r="Q55" s="1366"/>
      <c r="R55" s="427" t="s">
        <v>570</v>
      </c>
      <c r="S55" s="1415">
        <f>IF(DAY(Juil_Dim1)=1,"",IF(AND(YEAR(Juil_Dim1+5)=Année_Calendaire,MONTH(Juil_Dim1+5)=7),Juil_Dim1+5,""))</f>
        <v>44015</v>
      </c>
      <c r="T55" s="1728"/>
      <c r="U55" s="428">
        <f>IF(DAY(Juil_Dim1)=1,IF(AND(YEAR(Juil_Dim1+5)=Année_Calendaire,MONTH(Juil_Dim1+5)=7),Juil_Dim1+5,""),IF(AND(YEAR(Juil_Dim1+12)=Année_Calendaire,MONTH(Juil_Dim1+12)=7),Juil_Dim1+12,""))</f>
        <v>44022</v>
      </c>
      <c r="V55" s="1728"/>
      <c r="W55" s="428">
        <f>IF(DAY(Juil_Dim1)=1,IF(AND(YEAR(Juil_Dim1+12)=Année_Calendaire,MONTH(Juil_Dim1+12)=7),Juil_Dim1+12,""),IF(AND(YEAR(Juil_Dim1+19)=Année_Calendaire,MONTH(Juil_Dim1+19)=7),Juil_Dim1+19,""))</f>
        <v>44029</v>
      </c>
      <c r="X55" s="1728"/>
      <c r="Y55" s="428">
        <f>IF(DAY(Juil_Dim1)=1,IF(AND(YEAR(Juil_Dim1+19)=Année_Calendaire,MONTH(Juil_Dim1+19)=7),Juil_Dim1+19,""),IF(AND(YEAR(Juil_Dim1+26)=Année_Calendaire,MONTH(Juil_Dim1+26)=7),Juil_Dim1+26,""))</f>
        <v>44036</v>
      </c>
      <c r="Z55" s="1728"/>
      <c r="AA55" s="428">
        <f>IF(DAY(Juil_Dim1)=1,IF(AND(YEAR(Juil_Dim1+26)=Année_Calendaire,MONTH(Juil_Dim1+26)=7),Juil_Dim1+26,""),IF(AND(YEAR(Juil_Dim1+33)=Année_Calendaire,MONTH(Juil_Dim1+33)=7),Juil_Dim1+33,""))</f>
        <v>44043</v>
      </c>
      <c r="AB55" s="1728"/>
      <c r="AC55" s="433">
        <f>SUM(T50:AD50)</f>
        <v>0</v>
      </c>
      <c r="AD55" s="434" t="s">
        <v>387</v>
      </c>
      <c r="AE55" s="464">
        <f>COUNTIF(S51:AD57,AF55)</f>
        <v>0</v>
      </c>
      <c r="AF55" s="1422" t="s">
        <v>8</v>
      </c>
      <c r="AG55" s="389"/>
      <c r="AH55" s="389"/>
      <c r="AI55" s="477"/>
      <c r="AJ55" s="477"/>
      <c r="AK55" s="477"/>
      <c r="AL55" s="477"/>
      <c r="AM55" s="477"/>
      <c r="AN55" s="477"/>
      <c r="AO55" s="477"/>
      <c r="AP55" s="389"/>
      <c r="AQ55" s="389"/>
      <c r="AR55" s="389"/>
      <c r="AS55" s="389"/>
      <c r="AT55" s="389"/>
      <c r="AU55" s="386"/>
      <c r="AV55" s="386"/>
      <c r="AW55" s="389"/>
      <c r="AX55" s="389"/>
      <c r="AZ55" s="394"/>
    </row>
    <row r="56" spans="1:52" s="357" customFormat="1" ht="13.5" customHeight="1" x14ac:dyDescent="0.25">
      <c r="A56" s="446"/>
      <c r="B56" s="1423" t="s">
        <v>571</v>
      </c>
      <c r="C56" s="1424">
        <f>IF(DAY(Juin_Dim1)=1,"",IF(AND(YEAR(Juin_Dim1+6)=Année_Calendaire,MONTH(Juin_Dim1+6)=6),Juin_Dim1+6,""))</f>
        <v>43988</v>
      </c>
      <c r="D56" s="1728"/>
      <c r="E56" s="437">
        <f>IF(DAY(Juin_Dim1)=1,IF(AND(YEAR(Juin_Dim1+6)=Année_Calendaire,MONTH(Juin_Dim1+6)=6),Juin_Dim1+6,""),IF(AND(YEAR(Juin_Dim1+13)=Année_Calendaire,MONTH(Juin_Dim1+13)=6),Juin_Dim1+13,""))</f>
        <v>43995</v>
      </c>
      <c r="F56" s="1728"/>
      <c r="G56" s="437">
        <f>IF(DAY(Juin_Dim1)=1,IF(AND(YEAR(Juin_Dim1+13)=Année_Calendaire,MONTH(Juin_Dim1+13)=6),Juin_Dim1+13,""),IF(AND(YEAR(Juin_Dim1+20)=Année_Calendaire,MONTH(Juin_Dim1+20)=6),Juin_Dim1+20,""))</f>
        <v>44002</v>
      </c>
      <c r="H56" s="1728"/>
      <c r="I56" s="437">
        <f>IF(DAY(Juin_Dim1)=1,IF(AND(YEAR(Juin_Dim1+20)=Année_Calendaire,MONTH(Juin_Dim1+20)=6),Juin_Dim1+20,""),IF(AND(YEAR(Juin_Dim1+27)=Année_Calendaire,MONTH(Juin_Dim1+27)=6),Juin_Dim1+27,""))</f>
        <v>44009</v>
      </c>
      <c r="J56" s="1728"/>
      <c r="K56" s="437" t="str">
        <f>IF(DAY(Juin_Dim1)=1,IF(AND(YEAR(Juin_Dim1+27)=Année_Calendaire,MONTH(Juin_Dim1+27)=6),Juin_Dim1+27,""),IF(AND(YEAR(Juin_Dim1+34)=Année_Calendaire,MONTH(Juin_Dim1+34)=6),Juin_Dim1+34,""))</f>
        <v/>
      </c>
      <c r="L56" s="1728"/>
      <c r="M56" s="438" t="s">
        <v>686</v>
      </c>
      <c r="N56" s="439"/>
      <c r="O56" s="466">
        <f>COUNTIF(C51:N57,P56)</f>
        <v>0</v>
      </c>
      <c r="P56" s="467" t="s">
        <v>356</v>
      </c>
      <c r="Q56" s="1366"/>
      <c r="R56" s="436" t="s">
        <v>571</v>
      </c>
      <c r="S56" s="1424">
        <f>IF(DAY(Juil_Dim1)=1,"",IF(AND(YEAR(Juil_Dim1+6)=Année_Calendaire,MONTH(Juil_Dim1+6)=7),Juil_Dim1+6,""))</f>
        <v>44016</v>
      </c>
      <c r="T56" s="1728"/>
      <c r="U56" s="437">
        <f>IF(DAY(Juil_Dim1)=1,IF(AND(YEAR(Juil_Dim1+6)=Année_Calendaire,MONTH(Juil_Dim1+6)=7),Juil_Dim1+6,""),IF(AND(YEAR(Juil_Dim1+13)=Année_Calendaire,MONTH(Juil_Dim1+13)=7),Juil_Dim1+13,""))</f>
        <v>44023</v>
      </c>
      <c r="V56" s="1728"/>
      <c r="W56" s="437">
        <f>IF(DAY(Juil_Dim1)=1,IF(AND(YEAR(Juil_Dim1+13)=Année_Calendaire,MONTH(Juil_Dim1+13)=7),Juil_Dim1+13,""),IF(AND(YEAR(Juil_Dim1+20)=Année_Calendaire,MONTH(Juil_Dim1+20)=7),Juil_Dim1+20,""))</f>
        <v>44030</v>
      </c>
      <c r="X56" s="1728"/>
      <c r="Y56" s="437">
        <f>IF(DAY(Juil_Dim1)=1,IF(AND(YEAR(Juil_Dim1+20)=Année_Calendaire,MONTH(Juil_Dim1+20)=7),Juil_Dim1+20,""),IF(AND(YEAR(Juil_Dim1+27)=Année_Calendaire,MONTH(Juil_Dim1+27)=7),Juil_Dim1+27,""))</f>
        <v>44037</v>
      </c>
      <c r="Z56" s="1728"/>
      <c r="AA56" s="437" t="str">
        <f>IF(DAY(Juil_Dim1)=1,IF(AND(YEAR(Juil_Dim1+27)=Année_Calendaire,MONTH(Juil_Dim1+27)=7),Juil_Dim1+27,""),IF(AND(YEAR(Juil_Dim1+34)=Année_Calendaire,MONTH(Juil_Dim1+34)=7),Juil_Dim1+34,""))</f>
        <v/>
      </c>
      <c r="AB56" s="1728"/>
      <c r="AC56" s="438" t="s">
        <v>686</v>
      </c>
      <c r="AD56" s="439"/>
      <c r="AE56" s="466">
        <f>COUNTIF(S51:AD57,AF56)</f>
        <v>0</v>
      </c>
      <c r="AF56" s="1425" t="s">
        <v>356</v>
      </c>
      <c r="AG56" s="389"/>
      <c r="AH56" s="389"/>
      <c r="AI56" s="477"/>
      <c r="AJ56" s="477"/>
      <c r="AK56" s="477"/>
      <c r="AL56" s="477"/>
      <c r="AM56" s="477"/>
      <c r="AN56" s="477"/>
      <c r="AO56" s="477"/>
      <c r="AP56" s="389"/>
      <c r="AQ56" s="389"/>
      <c r="AR56" s="389"/>
      <c r="AS56" s="389"/>
      <c r="AT56" s="389"/>
      <c r="AU56" s="386"/>
      <c r="AV56" s="386"/>
      <c r="AW56" s="389"/>
      <c r="AX56" s="389"/>
      <c r="AZ56" s="394"/>
    </row>
    <row r="57" spans="1:52" s="357" customFormat="1" ht="13.5" customHeight="1" x14ac:dyDescent="0.25">
      <c r="A57" s="446"/>
      <c r="B57" s="1426" t="s">
        <v>572</v>
      </c>
      <c r="C57" s="1427">
        <f>IF(DAY(Juin_Dim1)=1,IF(AND(YEAR(Juin_Dim1)=Année_Calendaire,MONTH(Juin_Dim1)=6),Juin_Dim1,""),IF(AND(YEAR(Juin_Dim1+7)=Année_Calendaire,MONTH(Juin_Dim1+7)=6),Juin_Dim1+7,""))</f>
        <v>43989</v>
      </c>
      <c r="D57" s="1728"/>
      <c r="E57" s="442">
        <f>IF(DAY(Juin_Dim1)=1,IF(AND(YEAR(Juin_Dim1+7)=Année_Calendaire,MONTH(Juin_Dim1+7)=6),Juin_Dim1+7,""),IF(AND(YEAR(Juin_Dim1+14)=Année_Calendaire,MONTH(Juin_Dim1+14)=6),Juin_Dim1+14,""))</f>
        <v>43996</v>
      </c>
      <c r="F57" s="1728"/>
      <c r="G57" s="442">
        <f>IF(DAY(Juin_Dim1)=1,IF(AND(YEAR(Juin_Dim1+14)=Année_Calendaire,MONTH(Juin_Dim1+14)=6),Juin_Dim1+14,""),IF(AND(YEAR(Juin_Dim1+21)=Année_Calendaire,MONTH(Juin_Dim1+21)=6),Juin_Dim1+21,""))</f>
        <v>44003</v>
      </c>
      <c r="H57" s="1728"/>
      <c r="I57" s="442">
        <f>IF(DAY(Juin_Dim1)=1,IF(AND(YEAR(Juin_Dim1+21)=Année_Calendaire,MONTH(Juin_Dim1+21)=6),Juin_Dim1+21,""),IF(AND(YEAR(Juin_Dim1+28)=Année_Calendaire,MONTH(Juin_Dim1+28)=6),Juin_Dim1+28,""))</f>
        <v>44010</v>
      </c>
      <c r="J57" s="1728"/>
      <c r="K57" s="442" t="str">
        <f>IF(DAY(Juin_Dim1)=1,IF(AND(YEAR(Juin_Dim1+28)=Année_Calendaire,MONTH(Juin_Dim1+28)=6),Juin_Dim1+28,""),IF(AND(YEAR(Juin_Dim1+35)=Année_Calendaire,MONTH(Juin_Dim1+35)=6),Juin_Dim1+35,""))</f>
        <v/>
      </c>
      <c r="L57" s="1728"/>
      <c r="M57" s="1630">
        <f>IF(M54=0,0,M54/M55)</f>
        <v>0</v>
      </c>
      <c r="N57" s="1633"/>
      <c r="O57" s="468">
        <f>COUNTIF(C51:N57,P57)</f>
        <v>0</v>
      </c>
      <c r="P57" s="1428" t="s">
        <v>358</v>
      </c>
      <c r="Q57" s="1366"/>
      <c r="R57" s="441" t="s">
        <v>572</v>
      </c>
      <c r="S57" s="1427">
        <f>IF(DAY(Juil_Dim1)=1,IF(AND(YEAR(Juil_Dim1)=Année_Calendaire,MONTH(Juil_Dim1)=7),Juil_Dim1,""),IF(AND(YEAR(Juil_Dim1+7)=Année_Calendaire,MONTH(Juil_Dim1+7)=7),Juil_Dim1+7,""))</f>
        <v>44017</v>
      </c>
      <c r="T57" s="1728"/>
      <c r="U57" s="442">
        <f>IF(DAY(Juil_Dim1)=1,IF(AND(YEAR(Juil_Dim1+7)=Année_Calendaire,MONTH(Juil_Dim1+7)=7),Juil_Dim1+7,""),IF(AND(YEAR(Juil_Dim1+14)=Année_Calendaire,MONTH(Juil_Dim1+14)=7),Juil_Dim1+14,""))</f>
        <v>44024</v>
      </c>
      <c r="V57" s="1728"/>
      <c r="W57" s="442">
        <f>IF(DAY(Juil_Dim1)=1,IF(AND(YEAR(Juil_Dim1+14)=Année_Calendaire,MONTH(Juil_Dim1+14)=7),Juil_Dim1+14,""),IF(AND(YEAR(Juil_Dim1+21)=Année_Calendaire,MONTH(Juil_Dim1+21)=7),Juil_Dim1+21,""))</f>
        <v>44031</v>
      </c>
      <c r="X57" s="1728"/>
      <c r="Y57" s="442">
        <f>IF(DAY(Juil_Dim1)=1,IF(AND(YEAR(Juil_Dim1+21)=Année_Calendaire,MONTH(Juil_Dim1+21)=7),Juil_Dim1+21,""),IF(AND(YEAR(Juil_Dim1+28)=Année_Calendaire,MONTH(Juil_Dim1+28)=7),Juil_Dim1+28,""))</f>
        <v>44038</v>
      </c>
      <c r="Z57" s="1728"/>
      <c r="AA57" s="442" t="str">
        <f>IF(DAY(Juil_Dim1)=1,IF(AND(YEAR(Juil_Dim1+28)=Année_Calendaire,MONTH(Juil_Dim1+28)=7),Juil_Dim1+28,""),IF(AND(YEAR(Juil_Dim1+35)=Année_Calendaire,MONTH(Juil_Dim1+35)=7),Juil_Dim1+35,""))</f>
        <v/>
      </c>
      <c r="AB57" s="1728"/>
      <c r="AC57" s="1630">
        <f>IF(AC54=0,0,AC54/AC55)</f>
        <v>0</v>
      </c>
      <c r="AD57" s="1633"/>
      <c r="AE57" s="468">
        <f>COUNTIF(S51:AD57,AF57)</f>
        <v>0</v>
      </c>
      <c r="AF57" s="1429" t="s">
        <v>358</v>
      </c>
      <c r="AG57" s="389"/>
      <c r="AH57" s="389"/>
      <c r="AI57" s="477"/>
      <c r="AJ57" s="477"/>
      <c r="AK57" s="477"/>
      <c r="AL57" s="477"/>
      <c r="AM57" s="477"/>
      <c r="AN57" s="477"/>
      <c r="AO57" s="477"/>
      <c r="AP57" s="389"/>
      <c r="AQ57" s="389"/>
      <c r="AR57" s="389"/>
      <c r="AS57" s="389"/>
      <c r="AT57" s="389"/>
      <c r="AU57" s="386"/>
      <c r="AV57" s="386"/>
      <c r="AW57" s="389"/>
      <c r="AX57" s="389"/>
      <c r="AZ57" s="394"/>
    </row>
    <row r="58" spans="1:52" s="357" customFormat="1" ht="13.5" customHeight="1" x14ac:dyDescent="0.25">
      <c r="A58" s="446"/>
      <c r="B58" s="1430" t="s">
        <v>696</v>
      </c>
      <c r="C58" s="1636">
        <f>SUM(D51:D57)</f>
        <v>0</v>
      </c>
      <c r="D58" s="1613"/>
      <c r="E58" s="1612">
        <f>SUM(F51:F57)</f>
        <v>0</v>
      </c>
      <c r="F58" s="1613"/>
      <c r="G58" s="1612">
        <f>SUM(H51:H57)</f>
        <v>0</v>
      </c>
      <c r="H58" s="1613"/>
      <c r="I58" s="1612">
        <f>SUM(J51:J57)</f>
        <v>0</v>
      </c>
      <c r="J58" s="1613"/>
      <c r="K58" s="1612">
        <f>SUM(L51:L57)</f>
        <v>0</v>
      </c>
      <c r="L58" s="1613"/>
      <c r="M58" s="1612">
        <f>SUM(N51:N52)</f>
        <v>0</v>
      </c>
      <c r="N58" s="1613"/>
      <c r="O58" s="1612">
        <f>SUM(C58:N58)</f>
        <v>0</v>
      </c>
      <c r="P58" s="1613"/>
      <c r="Q58" s="1366"/>
      <c r="R58" s="1431" t="s">
        <v>696</v>
      </c>
      <c r="S58" s="1636">
        <f>SUM(T51:T57)</f>
        <v>0</v>
      </c>
      <c r="T58" s="1613"/>
      <c r="U58" s="1612">
        <f>SUM(V51:V57)</f>
        <v>0</v>
      </c>
      <c r="V58" s="1613"/>
      <c r="W58" s="1612">
        <f>SUM(X51:X57)</f>
        <v>0</v>
      </c>
      <c r="X58" s="1613"/>
      <c r="Y58" s="1612">
        <f>SUM(Z51:Z57)</f>
        <v>0</v>
      </c>
      <c r="Z58" s="1613"/>
      <c r="AA58" s="1612">
        <f>SUM(AB51:AB57)</f>
        <v>0</v>
      </c>
      <c r="AB58" s="1613"/>
      <c r="AC58" s="1612">
        <f>SUM(AD51:AD52)</f>
        <v>0</v>
      </c>
      <c r="AD58" s="1613"/>
      <c r="AE58" s="1612">
        <f>SUM(S58:AD58)</f>
        <v>0</v>
      </c>
      <c r="AF58" s="1614"/>
      <c r="AG58" s="389"/>
      <c r="AH58" s="389"/>
      <c r="AI58" s="477"/>
      <c r="AJ58" s="477"/>
      <c r="AK58" s="477"/>
      <c r="AL58" s="477"/>
      <c r="AM58" s="477"/>
      <c r="AN58" s="477"/>
      <c r="AO58" s="477"/>
      <c r="AP58" s="389"/>
      <c r="AQ58" s="389"/>
      <c r="AR58" s="389"/>
      <c r="AS58" s="389"/>
      <c r="AT58" s="389"/>
      <c r="AU58" s="386"/>
      <c r="AV58" s="386"/>
      <c r="AW58" s="389"/>
      <c r="AX58" s="389"/>
      <c r="AZ58" s="394"/>
    </row>
    <row r="59" spans="1:52" s="357" customFormat="1" ht="5.25" customHeight="1" x14ac:dyDescent="0.25">
      <c r="A59" s="446"/>
      <c r="B59" s="1390"/>
      <c r="C59" s="1373"/>
      <c r="D59" s="1373"/>
      <c r="E59" s="1373"/>
      <c r="F59" s="1373"/>
      <c r="G59" s="1373"/>
      <c r="H59" s="1373"/>
      <c r="I59" s="1373"/>
      <c r="J59" s="1373"/>
      <c r="K59" s="1373"/>
      <c r="L59" s="1373"/>
      <c r="M59" s="1373"/>
      <c r="N59" s="1373"/>
      <c r="O59" s="1373"/>
      <c r="P59" s="1373"/>
      <c r="Q59" s="1366"/>
      <c r="R59" s="1373"/>
      <c r="S59" s="1373"/>
      <c r="T59" s="1373"/>
      <c r="U59" s="1373"/>
      <c r="V59" s="1373"/>
      <c r="W59" s="1373"/>
      <c r="X59" s="1373"/>
      <c r="Y59" s="1373"/>
      <c r="Z59" s="1373"/>
      <c r="AA59" s="1373"/>
      <c r="AB59" s="1373"/>
      <c r="AC59" s="1373"/>
      <c r="AD59" s="1373"/>
      <c r="AE59" s="1373"/>
      <c r="AF59" s="1391"/>
      <c r="AG59" s="389"/>
      <c r="AH59" s="389"/>
      <c r="AI59" s="477"/>
      <c r="AJ59" s="477"/>
      <c r="AK59" s="477"/>
      <c r="AL59" s="477"/>
      <c r="AM59" s="477"/>
      <c r="AN59" s="477"/>
      <c r="AO59" s="477"/>
      <c r="AP59" s="389"/>
      <c r="AQ59" s="389"/>
      <c r="AR59" s="389"/>
      <c r="AS59" s="389"/>
      <c r="AT59" s="389"/>
      <c r="AU59" s="386"/>
      <c r="AV59" s="386"/>
      <c r="AW59" s="389"/>
      <c r="AX59" s="389"/>
      <c r="AZ59" s="394"/>
    </row>
    <row r="60" spans="1:52" ht="13.5" customHeight="1" x14ac:dyDescent="0.25">
      <c r="B60" s="1615">
        <f>C68</f>
        <v>44045</v>
      </c>
      <c r="C60" s="1616"/>
      <c r="D60" s="1616"/>
      <c r="E60" s="1366"/>
      <c r="F60" s="1366"/>
      <c r="G60" s="1366"/>
      <c r="H60" s="1366"/>
      <c r="I60" s="1366"/>
      <c r="J60" s="1366"/>
      <c r="K60" s="1432"/>
      <c r="L60" s="1366"/>
      <c r="M60" s="1366"/>
      <c r="N60" s="1366"/>
      <c r="O60" s="1366"/>
      <c r="P60" s="1366"/>
      <c r="Q60" s="1366"/>
      <c r="R60" s="1615">
        <f>S68</f>
        <v>44080</v>
      </c>
      <c r="S60" s="1616"/>
      <c r="T60" s="1616"/>
      <c r="U60" s="1366"/>
      <c r="V60" s="1366"/>
      <c r="W60" s="1366"/>
      <c r="X60" s="1366"/>
      <c r="Y60" s="1366"/>
      <c r="Z60" s="1366"/>
      <c r="AA60" s="1366"/>
      <c r="AB60" s="1366"/>
      <c r="AC60" s="1366"/>
      <c r="AD60" s="1366"/>
      <c r="AE60" s="1366"/>
      <c r="AF60" s="1393"/>
      <c r="AG60" s="386"/>
      <c r="AH60" s="386"/>
      <c r="AI60" s="477"/>
      <c r="AJ60" s="477"/>
      <c r="AK60" s="477"/>
      <c r="AL60" s="477"/>
      <c r="AM60" s="477"/>
      <c r="AN60" s="477"/>
      <c r="AO60" s="477"/>
      <c r="AP60" s="386"/>
      <c r="AQ60" s="386"/>
      <c r="AR60" s="386"/>
      <c r="AS60" s="386"/>
      <c r="AT60" s="386"/>
      <c r="AU60" s="386"/>
      <c r="AV60" s="386"/>
      <c r="AW60" s="386"/>
      <c r="AX60" s="386"/>
    </row>
    <row r="61" spans="1:52" ht="7.5" customHeight="1" x14ac:dyDescent="0.25">
      <c r="B61" s="1433" t="s">
        <v>691</v>
      </c>
      <c r="C61" s="1403"/>
      <c r="D61" s="1399">
        <f>COUNTIF(D62:D68,"&gt;0")</f>
        <v>0</v>
      </c>
      <c r="E61" s="1398"/>
      <c r="F61" s="1399">
        <f>COUNTIF(F62:F68,"&gt;0")</f>
        <v>0</v>
      </c>
      <c r="G61" s="1398"/>
      <c r="H61" s="1399">
        <f>COUNTIF(H62:H68,"&gt;0")</f>
        <v>0</v>
      </c>
      <c r="I61" s="1398"/>
      <c r="J61" s="1399">
        <f>COUNTIF(J62:J68,"&gt;0")</f>
        <v>0</v>
      </c>
      <c r="K61" s="1398"/>
      <c r="L61" s="1399">
        <f>COUNTIF(L62:L68,"&gt;0")</f>
        <v>0</v>
      </c>
      <c r="M61" s="1398"/>
      <c r="N61" s="1399">
        <f>COUNTIF(N62:N63,"&gt;0")</f>
        <v>0</v>
      </c>
      <c r="O61" s="1404"/>
      <c r="P61" s="1404"/>
      <c r="Q61" s="1366"/>
      <c r="R61" s="1402" t="s">
        <v>691</v>
      </c>
      <c r="S61" s="1403"/>
      <c r="T61" s="1399">
        <f>COUNTIF(T62:T68,"&gt;0")</f>
        <v>0</v>
      </c>
      <c r="U61" s="1398"/>
      <c r="V61" s="1399">
        <f>COUNTIF(V62:V68,"&gt;0")</f>
        <v>0</v>
      </c>
      <c r="W61" s="1398"/>
      <c r="X61" s="1399">
        <f>COUNTIF(X62:X68,"&gt;0")</f>
        <v>0</v>
      </c>
      <c r="Y61" s="1398"/>
      <c r="Z61" s="1399">
        <f>COUNTIF(Z62:Z68,"&gt;0")</f>
        <v>0</v>
      </c>
      <c r="AA61" s="1398"/>
      <c r="AB61" s="1399">
        <f>COUNTIF(AB62:AB68,"&gt;0")</f>
        <v>0</v>
      </c>
      <c r="AC61" s="1398"/>
      <c r="AD61" s="1399">
        <f>COUNTIF(AD62:AD63,"&gt;0")</f>
        <v>0</v>
      </c>
      <c r="AE61" s="1404"/>
      <c r="AF61" s="1405"/>
      <c r="AG61" s="389"/>
      <c r="AH61" s="389"/>
      <c r="AI61" s="477"/>
      <c r="AJ61" s="477"/>
      <c r="AK61" s="477"/>
      <c r="AL61" s="477"/>
      <c r="AM61" s="477"/>
      <c r="AN61" s="477"/>
      <c r="AO61" s="477"/>
      <c r="AP61" s="389"/>
      <c r="AQ61" s="389"/>
      <c r="AR61" s="389"/>
      <c r="AS61" s="386"/>
      <c r="AT61" s="386"/>
      <c r="AU61" s="386"/>
      <c r="AV61" s="386"/>
      <c r="AW61" s="386"/>
      <c r="AX61" s="386"/>
    </row>
    <row r="62" spans="1:52" s="377" customFormat="1" ht="13.5" customHeight="1" x14ac:dyDescent="0.25">
      <c r="A62" s="357"/>
      <c r="B62" s="1406" t="s">
        <v>567</v>
      </c>
      <c r="C62" s="1407" t="str">
        <f>IF(DAY(Aoû_Dim1)=1,"",IF(AND(YEAR(Aoû_Dim1+1)=Année_Calendaire,MONTH(Aoû_Dim1+1)=8),Aoû_Dim1+1,""))</f>
        <v/>
      </c>
      <c r="D62" s="1728"/>
      <c r="E62" s="1408">
        <f>IF(DAY(Aoû_Dim1)=1,IF(AND(YEAR(Aoû_Dim1+1)=Année_Calendaire,MONTH(Aoû_Dim1+1)=8),Aoû_Dim1+1,""),IF(AND(YEAR(Aoû_Dim1+8)=Année_Calendaire,MONTH(Aoû_Dim1+8)=8),Aoû_Dim1+8,""))</f>
        <v>44046</v>
      </c>
      <c r="F62" s="1728"/>
      <c r="G62" s="1409">
        <f>IF(DAY(Aoû_Dim1)=1,IF(AND(YEAR(Aoû_Dim1+8)=Année_Calendaire,MONTH(Aoû_Dim1+8)=8),Aoû_Dim1+8,""),IF(AND(YEAR(Aoû_Dim1+15)=Année_Calendaire,MONTH(Aoû_Dim1+15)=8),Aoû_Dim1+15,""))</f>
        <v>44053</v>
      </c>
      <c r="H62" s="1728"/>
      <c r="I62" s="1409">
        <f>IF(DAY(Aoû_Dim1)=1,IF(AND(YEAR(Aoû_Dim1+15)=Année_Calendaire,MONTH(Aoû_Dim1+15)=8),Aoû_Dim1+15,""),IF(AND(YEAR(Aoû_Dim1+22)=Année_Calendaire,MONTH(Aoû_Dim1+22)=8),Aoû_Dim1+22,""))</f>
        <v>44060</v>
      </c>
      <c r="J62" s="1728"/>
      <c r="K62" s="1409">
        <f>IF(DAY(Aoû_Dim1)=1,IF(AND(YEAR(Aoû_Dim1+22)=Année_Calendaire,MONTH(Aoû_Dim1+22)=8),Aoû_Dim1+22,""),IF(AND(YEAR(Aoû_Dim1+29)=Année_Calendaire,MONTH(Aoû_Dim1+29)=8),Aoû_Dim1+29,""))</f>
        <v>44067</v>
      </c>
      <c r="L62" s="1728"/>
      <c r="M62" s="1409">
        <f>IF(DAY(Aoû_Dim1)=1,IF(AND(YEAR(Aoû_Dim1+29)=Année_Calendaire,MONTH(Aoû_Dim1+29)=8),Aoû_Dim1+29,""),IF(AND(YEAR(Aoû_Dim1+36)=Année_Calendaire,MONTH(Aoû_Dim1+36)=8),Aoû_Dim1+36,""))</f>
        <v>44074</v>
      </c>
      <c r="N62" s="1728"/>
      <c r="O62" s="1410">
        <f>COUNTIF(C62:N68,P62)</f>
        <v>0</v>
      </c>
      <c r="P62" s="1411" t="s">
        <v>37</v>
      </c>
      <c r="Q62" s="1366"/>
      <c r="R62" s="1412" t="s">
        <v>567</v>
      </c>
      <c r="S62" s="1407" t="str">
        <f>IF(DAY(Sep_Dim1)=1,"",IF(AND(YEAR(Sep_Dim1+1)=Année_Calendaire,MONTH(Sep_Dim1+1)=9),Sep_Dim1+1,""))</f>
        <v/>
      </c>
      <c r="T62" s="1728"/>
      <c r="U62" s="1408">
        <f>IF(DAY(Sep_Dim1)=1,IF(AND(YEAR(Sep_Dim1+1)=Année_Calendaire,MONTH(Sep_Dim1+1)=9),Sep_Dim1+1,""),IF(AND(YEAR(Sep_Dim1+8)=Année_Calendaire,MONTH(Sep_Dim1+8)=9),Sep_Dim1+8,""))</f>
        <v>44081</v>
      </c>
      <c r="V62" s="1728"/>
      <c r="W62" s="1409">
        <f>IF(DAY(Sep_Dim1)=1,IF(AND(YEAR(Sep_Dim1+8)=Année_Calendaire,MONTH(Sep_Dim1+8)=9),Sep_Dim1+8,""),IF(AND(YEAR(Sep_Dim1+15)=Année_Calendaire,MONTH(Sep_Dim1+15)=9),Sep_Dim1+15,""))</f>
        <v>44088</v>
      </c>
      <c r="X62" s="1728"/>
      <c r="Y62" s="1409">
        <f>IF(DAY(Sep_Dim1)=1,IF(AND(YEAR(Sep_Dim1+15)=Année_Calendaire,MONTH(Sep_Dim1+15)=9),Sep_Dim1+15,""),IF(AND(YEAR(Sep_Dim1+22)=Année_Calendaire,MONTH(Sep_Dim1+22)=9),Sep_Dim1+22,""))</f>
        <v>44095</v>
      </c>
      <c r="Z62" s="1728"/>
      <c r="AA62" s="1409">
        <f>IF(DAY(Sep_Dim1)=1,IF(AND(YEAR(Sep_Dim1+22)=Année_Calendaire,MONTH(Sep_Dim1+22)=9),Sep_Dim1+22,""),IF(AND(YEAR(Sep_Dim1+29)=Année_Calendaire,MONTH(Sep_Dim1+29)=9),Sep_Dim1+29,""))</f>
        <v>44102</v>
      </c>
      <c r="AB62" s="1728"/>
      <c r="AC62" s="1409" t="str">
        <f>IF(DAY(Sep_Dim1)=1,IF(AND(YEAR(Sep_Dim1+29)=Année_Calendaire,MONTH(Sep_Dim1+29)=9),Sep_Dim1+29,""),IF(AND(YEAR(Sep_Dim1+36)=Année_Calendaire,MONTH(Sep_Dim1+36)=9),Sep_Dim1+36,""))</f>
        <v/>
      </c>
      <c r="AD62" s="1728"/>
      <c r="AE62" s="1410">
        <f>COUNTIF(S62:AD68,AF62)</f>
        <v>0</v>
      </c>
      <c r="AF62" s="1413" t="s">
        <v>37</v>
      </c>
      <c r="AG62" s="388"/>
      <c r="AH62" s="388"/>
      <c r="AI62" s="477"/>
      <c r="AJ62" s="477"/>
      <c r="AK62" s="477"/>
      <c r="AL62" s="477"/>
      <c r="AM62" s="477"/>
      <c r="AN62" s="477"/>
      <c r="AO62" s="477"/>
      <c r="AP62" s="388"/>
      <c r="AQ62" s="388"/>
      <c r="AR62" s="388"/>
      <c r="AS62" s="388"/>
      <c r="AT62" s="388"/>
      <c r="AU62" s="386"/>
      <c r="AV62" s="386"/>
      <c r="AW62" s="388"/>
      <c r="AX62" s="388"/>
      <c r="AZ62" s="394"/>
    </row>
    <row r="63" spans="1:52" s="377" customFormat="1" ht="13.5" customHeight="1" x14ac:dyDescent="0.25">
      <c r="A63" s="446"/>
      <c r="B63" s="1414" t="s">
        <v>568</v>
      </c>
      <c r="C63" s="1415" t="str">
        <f>IF(DAY(Aoû_Dim1)=1,"",IF(AND(YEAR(Aoû_Dim1+2)=Année_Calendaire,MONTH(Aoû_Dim1+2)=8),Aoû_Dim1+2,""))</f>
        <v/>
      </c>
      <c r="D63" s="1728"/>
      <c r="E63" s="428">
        <f>IF(DAY(Aoû_Dim1)=1,IF(AND(YEAR(Aoû_Dim1+2)=Année_Calendaire,MONTH(Aoû_Dim1+2)=8),Aoû_Dim1+2,""),IF(AND(YEAR(Aoû_Dim1+9)=Année_Calendaire,MONTH(Aoû_Dim1+9)=8),Aoû_Dim1+9,""))</f>
        <v>44047</v>
      </c>
      <c r="F63" s="1728"/>
      <c r="G63" s="428">
        <f>IF(DAY(Aoû_Dim1)=1,IF(AND(YEAR(Aoû_Dim1+9)=Année_Calendaire,MONTH(Aoû_Dim1+9)=8),Aoû_Dim1+9,""),IF(AND(YEAR(Aoû_Dim1+16)=Année_Calendaire,MONTH(Aoû_Dim1+16)=8),Aoû_Dim1+16,""))</f>
        <v>44054</v>
      </c>
      <c r="H63" s="1728"/>
      <c r="I63" s="428">
        <f>IF(DAY(Aoû_Dim1)=1,IF(AND(YEAR(Aoû_Dim1+16)=Année_Calendaire,MONTH(Aoû_Dim1+16)=8),Aoû_Dim1+16,""),IF(AND(YEAR(Aoû_Dim1+23)=Année_Calendaire,MONTH(Aoû_Dim1+23)=8),Aoû_Dim1+23,""))</f>
        <v>44061</v>
      </c>
      <c r="J63" s="1728"/>
      <c r="K63" s="428">
        <f>IF(DAY(Aoû_Dim1)=1,IF(AND(YEAR(Aoû_Dim1+23)=Année_Calendaire,MONTH(Aoû_Dim1+23)=8),Aoû_Dim1+23,""),IF(AND(YEAR(Aoû_Dim1+30)=Année_Calendaire,MONTH(Aoû_Dim1+30)=8),Aoû_Dim1+30,""))</f>
        <v>44068</v>
      </c>
      <c r="L63" s="1728"/>
      <c r="M63" s="429" t="str">
        <f>IF(DAY(Aoû_Dim1)=1,IF(AND(YEAR(Aoû_Dim1+30)=Année_Calendaire,MONTH(Aoû_Dim1+30)=8),Aoû_Dim1+30,""),IF(AND(YEAR(Aoû_Dim1+37)=Année_Calendaire,MONTH(Aoû_Dim1+37)=8),Aoû_Dim1+37,""))</f>
        <v/>
      </c>
      <c r="N63" s="1728"/>
      <c r="O63" s="458">
        <f>COUNTIF(C62:N68,P63)</f>
        <v>0</v>
      </c>
      <c r="P63" s="459" t="s">
        <v>368</v>
      </c>
      <c r="Q63" s="1366"/>
      <c r="R63" s="427" t="s">
        <v>568</v>
      </c>
      <c r="S63" s="1415">
        <f>IF(DAY(Sep_Dim1)=1,"",IF(AND(YEAR(Sep_Dim1+2)=Année_Calendaire,MONTH(Sep_Dim1+2)=9),Sep_Dim1+2,""))</f>
        <v>44075</v>
      </c>
      <c r="T63" s="1728"/>
      <c r="U63" s="428">
        <f>IF(DAY(Sep_Dim1)=1,IF(AND(YEAR(Sep_Dim1+2)=Année_Calendaire,MONTH(Sep_Dim1+2)=9),Sep_Dim1+2,""),IF(AND(YEAR(Sep_Dim1+9)=Année_Calendaire,MONTH(Sep_Dim1+9)=9),Sep_Dim1+9,""))</f>
        <v>44082</v>
      </c>
      <c r="V63" s="1728"/>
      <c r="W63" s="428">
        <f>IF(DAY(Sep_Dim1)=1,IF(AND(YEAR(Sep_Dim1+9)=Année_Calendaire,MONTH(Sep_Dim1+9)=9),Sep_Dim1+9,""),IF(AND(YEAR(Sep_Dim1+16)=Année_Calendaire,MONTH(Sep_Dim1+16)=9),Sep_Dim1+16,""))</f>
        <v>44089</v>
      </c>
      <c r="X63" s="1728"/>
      <c r="Y63" s="428">
        <f>IF(DAY(Sep_Dim1)=1,IF(AND(YEAR(Sep_Dim1+16)=Année_Calendaire,MONTH(Sep_Dim1+16)=9),Sep_Dim1+16,""),IF(AND(YEAR(Sep_Dim1+23)=Année_Calendaire,MONTH(Sep_Dim1+23)=9),Sep_Dim1+23,""))</f>
        <v>44096</v>
      </c>
      <c r="Z63" s="1728"/>
      <c r="AA63" s="428">
        <f>IF(DAY(Sep_Dim1)=1,IF(AND(YEAR(Sep_Dim1+23)=Année_Calendaire,MONTH(Sep_Dim1+23)=9),Sep_Dim1+23,""),IF(AND(YEAR(Sep_Dim1+30)=Année_Calendaire,MONTH(Sep_Dim1+30)=9),Sep_Dim1+30,""))</f>
        <v>44103</v>
      </c>
      <c r="AB63" s="1728"/>
      <c r="AC63" s="429" t="str">
        <f>IF(DAY(Sep_Dim1)=1,IF(AND(YEAR(Sep_Dim1+30)=Année_Calendaire,MONTH(Sep_Dim1+30)=9),Sep_Dim1+30,""),IF(AND(YEAR(Sep_Dim1+37)=Année_Calendaire,MONTH(Sep_Dim1+37)=9),Sep_Dim1+37,""))</f>
        <v/>
      </c>
      <c r="AD63" s="1728"/>
      <c r="AE63" s="458">
        <f>COUNTIF(S62:AD68,AF63)</f>
        <v>0</v>
      </c>
      <c r="AF63" s="1416" t="s">
        <v>368</v>
      </c>
      <c r="AG63" s="388"/>
      <c r="AH63" s="388"/>
      <c r="AI63" s="477"/>
      <c r="AJ63" s="477"/>
      <c r="AK63" s="477"/>
      <c r="AL63" s="477"/>
      <c r="AM63" s="477"/>
      <c r="AN63" s="477"/>
      <c r="AO63" s="477"/>
      <c r="AP63" s="388"/>
      <c r="AQ63" s="388"/>
      <c r="AR63" s="388"/>
      <c r="AS63" s="388"/>
      <c r="AT63" s="388"/>
      <c r="AU63" s="386"/>
      <c r="AV63" s="386"/>
      <c r="AW63" s="388"/>
      <c r="AX63" s="388"/>
      <c r="AZ63" s="394"/>
    </row>
    <row r="64" spans="1:52" s="357" customFormat="1" ht="13.5" customHeight="1" x14ac:dyDescent="0.25">
      <c r="A64" s="446"/>
      <c r="B64" s="1414" t="s">
        <v>569</v>
      </c>
      <c r="C64" s="1415" t="str">
        <f>IF(DAY(Aoû_Dim1)=1,"",IF(AND(YEAR(Aoû_Dim1+3)=Année_Calendaire,MONTH(Aoû_Dim1+3)=8),Aoû_Dim1+3,""))</f>
        <v/>
      </c>
      <c r="D64" s="1728"/>
      <c r="E64" s="428">
        <f>IF(DAY(Aoû_Dim1)=1,IF(AND(YEAR(Aoû_Dim1+3)=Année_Calendaire,MONTH(Aoû_Dim1+3)=8),Aoû_Dim1+3,""),IF(AND(YEAR(Aoû_Dim1+10)=Année_Calendaire,MONTH(Aoû_Dim1+10)=8),Aoû_Dim1+10,""))</f>
        <v>44048</v>
      </c>
      <c r="F64" s="1728"/>
      <c r="G64" s="428">
        <f>IF(DAY(Aoû_Dim1)=1,IF(AND(YEAR(Aoû_Dim1+10)=Année_Calendaire,MONTH(Aoû_Dim1+10)=8),Aoû_Dim1+10,""),IF(AND(YEAR(Aoû_Dim1+17)=Année_Calendaire,MONTH(Aoû_Dim1+17)=8),Aoû_Dim1+17,""))</f>
        <v>44055</v>
      </c>
      <c r="H64" s="1728"/>
      <c r="I64" s="428">
        <f>IF(DAY(Aoû_Dim1)=1,IF(AND(YEAR(Aoû_Dim1+17)=Année_Calendaire,MONTH(Aoû_Dim1+17)=8),Aoû_Dim1+17,""),IF(AND(YEAR(Aoû_Dim1+24)=Année_Calendaire,MONTH(Aoû_Dim1+24)=8),Aoû_Dim1+24,""))</f>
        <v>44062</v>
      </c>
      <c r="J64" s="1728"/>
      <c r="K64" s="428">
        <f>IF(DAY(Aoû_Dim1)=1,IF(AND(YEAR(Aoû_Dim1+24)=Année_Calendaire,MONTH(Aoû_Dim1+24)=8),Aoû_Dim1+24,""),IF(AND(YEAR(Aoû_Dim1+31)=Année_Calendaire,MONTH(Aoû_Dim1+31)=8),Aoû_Dim1+31,""))</f>
        <v>44069</v>
      </c>
      <c r="L64" s="1728"/>
      <c r="M64" s="1417" t="s">
        <v>685</v>
      </c>
      <c r="N64" s="1418"/>
      <c r="O64" s="460">
        <f>COUNTIF(C62:N68,P64)</f>
        <v>0</v>
      </c>
      <c r="P64" s="461" t="s">
        <v>7</v>
      </c>
      <c r="Q64" s="1366"/>
      <c r="R64" s="427" t="s">
        <v>569</v>
      </c>
      <c r="S64" s="1415">
        <f>IF(DAY(Sep_Dim1)=1,"",IF(AND(YEAR(Sep_Dim1+3)=Année_Calendaire,MONTH(Sep_Dim1+3)=9),Sep_Dim1+3,""))</f>
        <v>44076</v>
      </c>
      <c r="T64" s="1728"/>
      <c r="U64" s="428">
        <f>IF(DAY(Sep_Dim1)=1,IF(AND(YEAR(Sep_Dim1+3)=Année_Calendaire,MONTH(Sep_Dim1+3)=9),Sep_Dim1+3,""),IF(AND(YEAR(Sep_Dim1+10)=Année_Calendaire,MONTH(Sep_Dim1+10)=9),Sep_Dim1+10,""))</f>
        <v>44083</v>
      </c>
      <c r="V64" s="1728"/>
      <c r="W64" s="428">
        <f>IF(DAY(Sep_Dim1)=1,IF(AND(YEAR(Sep_Dim1+10)=Année_Calendaire,MONTH(Sep_Dim1+10)=9),Sep_Dim1+10,""),IF(AND(YEAR(Sep_Dim1+17)=Année_Calendaire,MONTH(Sep_Dim1+17)=9),Sep_Dim1+17,""))</f>
        <v>44090</v>
      </c>
      <c r="X64" s="1728"/>
      <c r="Y64" s="428">
        <f>IF(DAY(Sep_Dim1)=1,IF(AND(YEAR(Sep_Dim1+17)=Année_Calendaire,MONTH(Sep_Dim1+17)=9),Sep_Dim1+17,""),IF(AND(YEAR(Sep_Dim1+24)=Année_Calendaire,MONTH(Sep_Dim1+24)=9),Sep_Dim1+24,""))</f>
        <v>44097</v>
      </c>
      <c r="Z64" s="1728"/>
      <c r="AA64" s="428">
        <f>IF(DAY(Sep_Dim1)=1,IF(AND(YEAR(Sep_Dim1+24)=Année_Calendaire,MONTH(Sep_Dim1+24)=9),Sep_Dim1+24,""),IF(AND(YEAR(Sep_Dim1+31)=Année_Calendaire,MONTH(Sep_Dim1+31)=9),Sep_Dim1+31,""))</f>
        <v>44104</v>
      </c>
      <c r="AB64" s="1728"/>
      <c r="AC64" s="1417" t="s">
        <v>685</v>
      </c>
      <c r="AD64" s="1418"/>
      <c r="AE64" s="460">
        <f>COUNTIF(S62:AD68,AF64)</f>
        <v>0</v>
      </c>
      <c r="AF64" s="1419" t="s">
        <v>7</v>
      </c>
      <c r="AG64" s="389"/>
      <c r="AH64" s="389"/>
      <c r="AI64" s="477"/>
      <c r="AJ64" s="477"/>
      <c r="AK64" s="477"/>
      <c r="AL64" s="477"/>
      <c r="AM64" s="477"/>
      <c r="AN64" s="477"/>
      <c r="AO64" s="477"/>
      <c r="AP64" s="389"/>
      <c r="AQ64" s="389"/>
      <c r="AR64" s="389"/>
      <c r="AS64" s="389"/>
      <c r="AT64" s="389"/>
      <c r="AU64" s="386"/>
      <c r="AV64" s="386"/>
      <c r="AW64" s="389"/>
      <c r="AX64" s="389"/>
      <c r="AZ64" s="394"/>
    </row>
    <row r="65" spans="1:52" s="357" customFormat="1" ht="13.5" customHeight="1" x14ac:dyDescent="0.25">
      <c r="A65" s="446"/>
      <c r="B65" s="1414" t="s">
        <v>556</v>
      </c>
      <c r="C65" s="1415" t="str">
        <f>IF(DAY(Aoû_Dim1)=1,"",IF(AND(YEAR(Aoû_Dim1+4)=Année_Calendaire,MONTH(Aoû_Dim1+4)=8),Aoû_Dim1+4,""))</f>
        <v/>
      </c>
      <c r="D65" s="1728"/>
      <c r="E65" s="428">
        <f>IF(DAY(Aoû_Dim1)=1,IF(AND(YEAR(Aoû_Dim1+4)=Année_Calendaire,MONTH(Aoû_Dim1+4)=8),Aoû_Dim1+4,""),IF(AND(YEAR(Aoû_Dim1+11)=Année_Calendaire,MONTH(Aoû_Dim1+11)=8),Aoû_Dim1+11,""))</f>
        <v>44049</v>
      </c>
      <c r="F65" s="1728"/>
      <c r="G65" s="428">
        <f>IF(DAY(Aoû_Dim1)=1,IF(AND(YEAR(Aoû_Dim1+11)=Année_Calendaire,MONTH(Aoû_Dim1+11)=8),Aoû_Dim1+11,""),IF(AND(YEAR(Aoû_Dim1+18)=Année_Calendaire,MONTH(Aoû_Dim1+18)=8),Aoû_Dim1+18,""))</f>
        <v>44056</v>
      </c>
      <c r="H65" s="1728"/>
      <c r="I65" s="428">
        <f>IF(DAY(Aoû_Dim1)=1,IF(AND(YEAR(Aoû_Dim1+18)=Année_Calendaire,MONTH(Aoû_Dim1+18)=8),Aoû_Dim1+18,""),IF(AND(YEAR(Aoû_Dim1+25)=Année_Calendaire,MONTH(Aoû_Dim1+25)=8),Aoû_Dim1+25,""))</f>
        <v>44063</v>
      </c>
      <c r="J65" s="1728"/>
      <c r="K65" s="428">
        <f>IF(DAY(Aoû_Dim1)=1,IF(AND(YEAR(Aoû_Dim1+25)=Année_Calendaire,MONTH(Aoû_Dim1+25)=8),Aoû_Dim1+25,""),IF(AND(YEAR(Aoû_Dim1+32)=Année_Calendaire,MONTH(Aoû_Dim1+32)=8),Aoû_Dim1+32,""))</f>
        <v>44070</v>
      </c>
      <c r="L65" s="1728"/>
      <c r="M65" s="1628">
        <f>SUM(D62:D68,F62:F68,H62:H68,J62:J68,L62:L68,N62:N63)</f>
        <v>0</v>
      </c>
      <c r="N65" s="1629"/>
      <c r="O65" s="462">
        <f>COUNTIF(C62:N68,P65)</f>
        <v>0</v>
      </c>
      <c r="P65" s="463" t="s">
        <v>373</v>
      </c>
      <c r="Q65" s="1366"/>
      <c r="R65" s="427" t="s">
        <v>556</v>
      </c>
      <c r="S65" s="1415">
        <f>IF(DAY(Sep_Dim1)=1,"",IF(AND(YEAR(Sep_Dim1+4)=Année_Calendaire,MONTH(Sep_Dim1+4)=9),Sep_Dim1+4,""))</f>
        <v>44077</v>
      </c>
      <c r="T65" s="1728"/>
      <c r="U65" s="428">
        <f>IF(DAY(Sep_Dim1)=1,IF(AND(YEAR(Sep_Dim1+4)=Année_Calendaire,MONTH(Sep_Dim1+4)=9),Sep_Dim1+4,""),IF(AND(YEAR(Sep_Dim1+11)=Année_Calendaire,MONTH(Sep_Dim1+11)=9),Sep_Dim1+11,""))</f>
        <v>44084</v>
      </c>
      <c r="V65" s="1728"/>
      <c r="W65" s="428">
        <f>IF(DAY(Sep_Dim1)=1,IF(AND(YEAR(Sep_Dim1+11)=Année_Calendaire,MONTH(Sep_Dim1+11)=9),Sep_Dim1+11,""),IF(AND(YEAR(Sep_Dim1+18)=Année_Calendaire,MONTH(Sep_Dim1+18)=9),Sep_Dim1+18,""))</f>
        <v>44091</v>
      </c>
      <c r="X65" s="1728"/>
      <c r="Y65" s="428">
        <f>IF(DAY(Sep_Dim1)=1,IF(AND(YEAR(Sep_Dim1+18)=Année_Calendaire,MONTH(Sep_Dim1+18)=9),Sep_Dim1+18,""),IF(AND(YEAR(Sep_Dim1+25)=Année_Calendaire,MONTH(Sep_Dim1+25)=9),Sep_Dim1+25,""))</f>
        <v>44098</v>
      </c>
      <c r="Z65" s="1728"/>
      <c r="AA65" s="428" t="str">
        <f>IF(DAY(Sep_Dim1)=1,IF(AND(YEAR(Sep_Dim1+25)=Année_Calendaire,MONTH(Sep_Dim1+25)=9),Sep_Dim1+25,""),IF(AND(YEAR(Sep_Dim1+32)=Année_Calendaire,MONTH(Sep_Dim1+32)=9),Sep_Dim1+32,""))</f>
        <v/>
      </c>
      <c r="AB65" s="1728"/>
      <c r="AC65" s="1628">
        <f>SUM(T62:T68,V62:V68,X62:X68,Z62:Z68,AB62:AB68,AD62:AD63)</f>
        <v>0</v>
      </c>
      <c r="AD65" s="1629"/>
      <c r="AE65" s="462">
        <f>COUNTIF(S62:AD68,AF65)</f>
        <v>0</v>
      </c>
      <c r="AF65" s="1421" t="s">
        <v>373</v>
      </c>
      <c r="AG65" s="389"/>
      <c r="AH65" s="389"/>
      <c r="AI65" s="477"/>
      <c r="AJ65" s="477"/>
      <c r="AK65" s="477"/>
      <c r="AL65" s="477"/>
      <c r="AM65" s="477"/>
      <c r="AN65" s="477"/>
      <c r="AO65" s="477"/>
      <c r="AP65" s="389"/>
      <c r="AQ65" s="389"/>
      <c r="AR65" s="389"/>
      <c r="AS65" s="389"/>
      <c r="AT65" s="389"/>
      <c r="AU65" s="386"/>
      <c r="AV65" s="386"/>
      <c r="AW65" s="389"/>
      <c r="AX65" s="389"/>
      <c r="AZ65" s="394"/>
    </row>
    <row r="66" spans="1:52" s="357" customFormat="1" ht="13.5" customHeight="1" x14ac:dyDescent="0.25">
      <c r="A66" s="446"/>
      <c r="B66" s="1414" t="s">
        <v>570</v>
      </c>
      <c r="C66" s="1415" t="str">
        <f>IF(DAY(Aoû_Dim1)=1,"",IF(AND(YEAR(Aoû_Dim1+5)=Année_Calendaire,MONTH(Aoû_Dim1+5)=8),Aoû_Dim1+5,""))</f>
        <v/>
      </c>
      <c r="D66" s="1728"/>
      <c r="E66" s="428">
        <f>IF(DAY(Aoû_Dim1)=1,IF(AND(YEAR(Aoû_Dim1+5)=Année_Calendaire,MONTH(Aoû_Dim1+5)=8),Aoû_Dim1+5,""),IF(AND(YEAR(Aoû_Dim1+12)=Année_Calendaire,MONTH(Aoû_Dim1+12)=8),Aoû_Dim1+12,""))</f>
        <v>44050</v>
      </c>
      <c r="F66" s="1728"/>
      <c r="G66" s="428">
        <f>IF(DAY(Aoû_Dim1)=1,IF(AND(YEAR(Aoû_Dim1+12)=Année_Calendaire,MONTH(Aoû_Dim1+12)=8),Aoû_Dim1+12,""),IF(AND(YEAR(Aoû_Dim1+19)=Année_Calendaire,MONTH(Aoû_Dim1+19)=8),Aoû_Dim1+19,""))</f>
        <v>44057</v>
      </c>
      <c r="H66" s="1728"/>
      <c r="I66" s="428">
        <f>IF(DAY(Aoû_Dim1)=1,IF(AND(YEAR(Aoû_Dim1+19)=Année_Calendaire,MONTH(Aoû_Dim1+19)=8),Aoû_Dim1+19,""),IF(AND(YEAR(Aoû_Dim1+26)=Année_Calendaire,MONTH(Aoû_Dim1+26)=8),Aoû_Dim1+26,""))</f>
        <v>44064</v>
      </c>
      <c r="J66" s="1728"/>
      <c r="K66" s="428">
        <f>IF(DAY(Aoû_Dim1)=1,IF(AND(YEAR(Aoû_Dim1+26)=Année_Calendaire,MONTH(Aoû_Dim1+26)=8),Aoû_Dim1+26,""),IF(AND(YEAR(Aoû_Dim1+33)=Année_Calendaire,MONTH(Aoû_Dim1+33)=8),Aoû_Dim1+33,""))</f>
        <v>44071</v>
      </c>
      <c r="L66" s="1728"/>
      <c r="M66" s="433">
        <f>SUM(D61:N61)</f>
        <v>0</v>
      </c>
      <c r="N66" s="434" t="s">
        <v>387</v>
      </c>
      <c r="O66" s="464">
        <f>COUNTIF(C62:N68,P66)</f>
        <v>0</v>
      </c>
      <c r="P66" s="465" t="s">
        <v>8</v>
      </c>
      <c r="Q66" s="1366"/>
      <c r="R66" s="427" t="s">
        <v>570</v>
      </c>
      <c r="S66" s="1415">
        <f>IF(DAY(Sep_Dim1)=1,"",IF(AND(YEAR(Sep_Dim1+5)=Année_Calendaire,MONTH(Sep_Dim1+5)=9),Sep_Dim1+5,""))</f>
        <v>44078</v>
      </c>
      <c r="T66" s="1728"/>
      <c r="U66" s="428">
        <f>IF(DAY(Sep_Dim1)=1,IF(AND(YEAR(Sep_Dim1+5)=Année_Calendaire,MONTH(Sep_Dim1+5)=9),Sep_Dim1+5,""),IF(AND(YEAR(Sep_Dim1+12)=Année_Calendaire,MONTH(Sep_Dim1+12)=9),Sep_Dim1+12,""))</f>
        <v>44085</v>
      </c>
      <c r="V66" s="1728"/>
      <c r="W66" s="428">
        <f>IF(DAY(Sep_Dim1)=1,IF(AND(YEAR(Sep_Dim1+12)=Année_Calendaire,MONTH(Sep_Dim1+12)=9),Sep_Dim1+12,""),IF(AND(YEAR(Sep_Dim1+19)=Année_Calendaire,MONTH(Sep_Dim1+19)=9),Sep_Dim1+19,""))</f>
        <v>44092</v>
      </c>
      <c r="X66" s="1728"/>
      <c r="Y66" s="428">
        <f>IF(DAY(Sep_Dim1)=1,IF(AND(YEAR(Sep_Dim1+19)=Année_Calendaire,MONTH(Sep_Dim1+19)=9),Sep_Dim1+19,""),IF(AND(YEAR(Sep_Dim1+26)=Année_Calendaire,MONTH(Sep_Dim1+26)=9),Sep_Dim1+26,""))</f>
        <v>44099</v>
      </c>
      <c r="Z66" s="1728"/>
      <c r="AA66" s="428" t="str">
        <f>IF(DAY(Sep_Dim1)=1,IF(AND(YEAR(Sep_Dim1+26)=Année_Calendaire,MONTH(Sep_Dim1+26)=9),Sep_Dim1+26,""),IF(AND(YEAR(Sep_Dim1+33)=Année_Calendaire,MONTH(Sep_Dim1+33)=9),Sep_Dim1+33,""))</f>
        <v/>
      </c>
      <c r="AB66" s="1728"/>
      <c r="AC66" s="433">
        <f>SUM(T61:AD61)</f>
        <v>0</v>
      </c>
      <c r="AD66" s="434" t="s">
        <v>387</v>
      </c>
      <c r="AE66" s="464">
        <f>COUNTIF(S62:AD68,AF66)</f>
        <v>0</v>
      </c>
      <c r="AF66" s="1422" t="s">
        <v>8</v>
      </c>
      <c r="AG66" s="389"/>
      <c r="AH66" s="389"/>
      <c r="AI66" s="477"/>
      <c r="AJ66" s="477"/>
      <c r="AK66" s="477"/>
      <c r="AL66" s="477"/>
      <c r="AM66" s="477"/>
      <c r="AN66" s="477"/>
      <c r="AO66" s="477"/>
      <c r="AP66" s="389"/>
      <c r="AQ66" s="389"/>
      <c r="AR66" s="389"/>
      <c r="AS66" s="389"/>
      <c r="AT66" s="389"/>
      <c r="AU66" s="389"/>
      <c r="AV66" s="389"/>
      <c r="AW66" s="389"/>
      <c r="AX66" s="389"/>
      <c r="AZ66" s="394"/>
    </row>
    <row r="67" spans="1:52" s="357" customFormat="1" ht="13.5" customHeight="1" x14ac:dyDescent="0.25">
      <c r="A67" s="446"/>
      <c r="B67" s="1423" t="s">
        <v>571</v>
      </c>
      <c r="C67" s="1424">
        <f>IF(DAY(Aoû_Dim1)=1,"",IF(AND(YEAR(Aoû_Dim1+6)=Année_Calendaire,MONTH(Aoû_Dim1+6)=8),Aoû_Dim1+6,""))</f>
        <v>44044</v>
      </c>
      <c r="D67" s="1728"/>
      <c r="E67" s="437">
        <f>IF(DAY(Aoû_Dim1)=1,IF(AND(YEAR(Aoû_Dim1+6)=Année_Calendaire,MONTH(Aoû_Dim1+6)=8),Aoû_Dim1+6,""),IF(AND(YEAR(Aoû_Dim1+13)=Année_Calendaire,MONTH(Aoû_Dim1+13)=8),Aoû_Dim1+13,""))</f>
        <v>44051</v>
      </c>
      <c r="F67" s="1728"/>
      <c r="G67" s="437">
        <f>IF(DAY(Aoû_Dim1)=1,IF(AND(YEAR(Aoû_Dim1+13)=Année_Calendaire,MONTH(Aoû_Dim1+13)=8),Aoû_Dim1+13,""),IF(AND(YEAR(Aoû_Dim1+20)=Année_Calendaire,MONTH(Aoû_Dim1+20)=8),Aoû_Dim1+20,""))</f>
        <v>44058</v>
      </c>
      <c r="H67" s="1728"/>
      <c r="I67" s="437">
        <f>IF(DAY(Aoû_Dim1)=1,IF(AND(YEAR(Aoû_Dim1+20)=Année_Calendaire,MONTH(Aoû_Dim1+20)=8),Aoû_Dim1+20,""),IF(AND(YEAR(Aoû_Dim1+27)=Année_Calendaire,MONTH(Aoû_Dim1+27)=8),Aoû_Dim1+27,""))</f>
        <v>44065</v>
      </c>
      <c r="J67" s="1728"/>
      <c r="K67" s="437">
        <f>IF(DAY(Aoû_Dim1)=1,IF(AND(YEAR(Aoû_Dim1+27)=Année_Calendaire,MONTH(Aoû_Dim1+27)=8),Aoû_Dim1+27,""),IF(AND(YEAR(Aoû_Dim1+34)=Année_Calendaire,MONTH(Aoû_Dim1+34)=8),Aoû_Dim1+34,""))</f>
        <v>44072</v>
      </c>
      <c r="L67" s="1728"/>
      <c r="M67" s="438" t="s">
        <v>686</v>
      </c>
      <c r="N67" s="439"/>
      <c r="O67" s="466">
        <f>COUNTIF(C62:N68,P67)</f>
        <v>0</v>
      </c>
      <c r="P67" s="467" t="s">
        <v>356</v>
      </c>
      <c r="Q67" s="1366"/>
      <c r="R67" s="436" t="s">
        <v>571</v>
      </c>
      <c r="S67" s="1424">
        <f>IF(DAY(Sep_Dim1)=1,"",IF(AND(YEAR(Sep_Dim1+6)=Année_Calendaire,MONTH(Sep_Dim1+6)=9),Sep_Dim1+6,""))</f>
        <v>44079</v>
      </c>
      <c r="T67" s="1728"/>
      <c r="U67" s="437">
        <f>IF(DAY(Sep_Dim1)=1,IF(AND(YEAR(Sep_Dim1+6)=Année_Calendaire,MONTH(Sep_Dim1+6)=9),Sep_Dim1+6,""),IF(AND(YEAR(Sep_Dim1+13)=Année_Calendaire,MONTH(Sep_Dim1+13)=9),Sep_Dim1+13,""))</f>
        <v>44086</v>
      </c>
      <c r="V67" s="1728"/>
      <c r="W67" s="437">
        <f>IF(DAY(Sep_Dim1)=1,IF(AND(YEAR(Sep_Dim1+13)=Année_Calendaire,MONTH(Sep_Dim1+13)=9),Sep_Dim1+13,""),IF(AND(YEAR(Sep_Dim1+20)=Année_Calendaire,MONTH(Sep_Dim1+20)=9),Sep_Dim1+20,""))</f>
        <v>44093</v>
      </c>
      <c r="X67" s="1728"/>
      <c r="Y67" s="437">
        <f>IF(DAY(Sep_Dim1)=1,IF(AND(YEAR(Sep_Dim1+20)=Année_Calendaire,MONTH(Sep_Dim1+20)=9),Sep_Dim1+20,""),IF(AND(YEAR(Sep_Dim1+27)=Année_Calendaire,MONTH(Sep_Dim1+27)=9),Sep_Dim1+27,""))</f>
        <v>44100</v>
      </c>
      <c r="Z67" s="1728"/>
      <c r="AA67" s="437" t="str">
        <f>IF(DAY(Sep_Dim1)=1,IF(AND(YEAR(Sep_Dim1+27)=Année_Calendaire,MONTH(Sep_Dim1+27)=9),Sep_Dim1+27,""),IF(AND(YEAR(Sep_Dim1+34)=Année_Calendaire,MONTH(Sep_Dim1+34)=9),Sep_Dim1+34,""))</f>
        <v/>
      </c>
      <c r="AB67" s="1728"/>
      <c r="AC67" s="438" t="s">
        <v>686</v>
      </c>
      <c r="AD67" s="439"/>
      <c r="AE67" s="466">
        <f>COUNTIF(S62:AD68,AF67)</f>
        <v>0</v>
      </c>
      <c r="AF67" s="1425" t="s">
        <v>356</v>
      </c>
      <c r="AG67" s="389"/>
      <c r="AH67" s="389"/>
      <c r="AI67" s="477"/>
      <c r="AJ67" s="477"/>
      <c r="AK67" s="477"/>
      <c r="AL67" s="477"/>
      <c r="AM67" s="477"/>
      <c r="AN67" s="477"/>
      <c r="AO67" s="477"/>
      <c r="AP67" s="389"/>
      <c r="AQ67" s="389"/>
      <c r="AR67" s="389"/>
      <c r="AS67" s="389"/>
      <c r="AT67" s="389"/>
      <c r="AU67" s="389"/>
      <c r="AV67" s="389"/>
      <c r="AW67" s="389"/>
      <c r="AX67" s="389"/>
      <c r="AZ67" s="394"/>
    </row>
    <row r="68" spans="1:52" s="357" customFormat="1" ht="13.5" customHeight="1" x14ac:dyDescent="0.25">
      <c r="A68" s="446"/>
      <c r="B68" s="1426" t="s">
        <v>572</v>
      </c>
      <c r="C68" s="1427">
        <f>IF(DAY(Aoû_Dim1)=1,IF(AND(YEAR(Aoû_Dim1)=Année_Calendaire,MONTH(Aoû_Dim1)=8),Aoû_Dim1,""),IF(AND(YEAR(Aoû_Dim1+7)=Année_Calendaire,MONTH(Aoû_Dim1+7)=8),Aoû_Dim1+7,""))</f>
        <v>44045</v>
      </c>
      <c r="D68" s="1728"/>
      <c r="E68" s="442">
        <f>IF(DAY(Aoû_Dim1)=1,IF(AND(YEAR(Aoû_Dim1+7)=Année_Calendaire,MONTH(Aoû_Dim1+7)=8),Aoû_Dim1+7,""),IF(AND(YEAR(Aoû_Dim1+14)=Année_Calendaire,MONTH(Aoû_Dim1+14)=8),Aoû_Dim1+14,""))</f>
        <v>44052</v>
      </c>
      <c r="F68" s="1728"/>
      <c r="G68" s="442">
        <f>IF(DAY(Aoû_Dim1)=1,IF(AND(YEAR(Aoû_Dim1+14)=Année_Calendaire,MONTH(Aoû_Dim1+14)=8),Aoû_Dim1+14,""),IF(AND(YEAR(Aoû_Dim1+21)=Année_Calendaire,MONTH(Aoû_Dim1+21)=8),Aoû_Dim1+21,""))</f>
        <v>44059</v>
      </c>
      <c r="H68" s="1728"/>
      <c r="I68" s="442">
        <f>IF(DAY(Aoû_Dim1)=1,IF(AND(YEAR(Aoû_Dim1+21)=Année_Calendaire,MONTH(Aoû_Dim1+21)=8),Aoû_Dim1+21,""),IF(AND(YEAR(Aoû_Dim1+28)=Année_Calendaire,MONTH(Aoû_Dim1+28)=8),Aoû_Dim1+28,""))</f>
        <v>44066</v>
      </c>
      <c r="J68" s="1728"/>
      <c r="K68" s="442">
        <f>IF(DAY(Aoû_Dim1)=1,IF(AND(YEAR(Aoû_Dim1+28)=Année_Calendaire,MONTH(Aoû_Dim1+28)=8),Aoû_Dim1+28,""),IF(AND(YEAR(Aoû_Dim1+35)=Année_Calendaire,MONTH(Aoû_Dim1+35)=8),Aoû_Dim1+35,""))</f>
        <v>44073</v>
      </c>
      <c r="L68" s="1728"/>
      <c r="M68" s="1630">
        <f>IF(M65=0,0,M65/M66)</f>
        <v>0</v>
      </c>
      <c r="N68" s="1633"/>
      <c r="O68" s="468">
        <f>COUNTIF(C62:N68,P68)</f>
        <v>0</v>
      </c>
      <c r="P68" s="1428" t="s">
        <v>358</v>
      </c>
      <c r="Q68" s="1366"/>
      <c r="R68" s="441" t="s">
        <v>572</v>
      </c>
      <c r="S68" s="1427">
        <f>IF(DAY(Sep_Dim1)=1,IF(AND(YEAR(Sep_Dim1)=Année_Calendaire,MONTH(Sep_Dim1)=9),Sep_Dim1,""),IF(AND(YEAR(Sep_Dim1+7)=Année_Calendaire,MONTH(Sep_Dim1+7)=9),Sep_Dim1+7,""))</f>
        <v>44080</v>
      </c>
      <c r="T68" s="1728"/>
      <c r="U68" s="442">
        <f>IF(DAY(Sep_Dim1)=1,IF(AND(YEAR(Sep_Dim1+7)=Année_Calendaire,MONTH(Sep_Dim1+7)=9),Sep_Dim1+7,""),IF(AND(YEAR(Sep_Dim1+14)=Année_Calendaire,MONTH(Sep_Dim1+14)=9),Sep_Dim1+14,""))</f>
        <v>44087</v>
      </c>
      <c r="V68" s="1728"/>
      <c r="W68" s="442">
        <f>IF(DAY(Sep_Dim1)=1,IF(AND(YEAR(Sep_Dim1+14)=Année_Calendaire,MONTH(Sep_Dim1+14)=9),Sep_Dim1+14,""),IF(AND(YEAR(Sep_Dim1+21)=Année_Calendaire,MONTH(Sep_Dim1+21)=9),Sep_Dim1+21,""))</f>
        <v>44094</v>
      </c>
      <c r="X68" s="1728"/>
      <c r="Y68" s="442">
        <f>IF(DAY(Sep_Dim1)=1,IF(AND(YEAR(Sep_Dim1+21)=Année_Calendaire,MONTH(Sep_Dim1+21)=9),Sep_Dim1+21,""),IF(AND(YEAR(Sep_Dim1+28)=Année_Calendaire,MONTH(Sep_Dim1+28)=9),Sep_Dim1+28,""))</f>
        <v>44101</v>
      </c>
      <c r="Z68" s="1728"/>
      <c r="AA68" s="442" t="str">
        <f>IF(DAY(Sep_Dim1)=1,IF(AND(YEAR(Sep_Dim1+28)=Année_Calendaire,MONTH(Sep_Dim1+28)=9),Sep_Dim1+28,""),IF(AND(YEAR(Sep_Dim1+35)=Année_Calendaire,MONTH(Sep_Dim1+35)=9),Sep_Dim1+35,""))</f>
        <v/>
      </c>
      <c r="AB68" s="1728"/>
      <c r="AC68" s="1630">
        <f>IF(AC65=0,0,AC65/AC66)</f>
        <v>0</v>
      </c>
      <c r="AD68" s="1633"/>
      <c r="AE68" s="468">
        <f>COUNTIF(S62:AD68,AF68)</f>
        <v>0</v>
      </c>
      <c r="AF68" s="1429" t="s">
        <v>358</v>
      </c>
      <c r="AG68" s="389"/>
      <c r="AH68" s="389"/>
      <c r="AI68" s="477"/>
      <c r="AJ68" s="477"/>
      <c r="AK68" s="477"/>
      <c r="AL68" s="477"/>
      <c r="AM68" s="477"/>
      <c r="AN68" s="477"/>
      <c r="AO68" s="477"/>
      <c r="AP68" s="389"/>
      <c r="AQ68" s="389"/>
      <c r="AR68" s="389"/>
      <c r="AS68" s="389"/>
      <c r="AT68" s="389"/>
      <c r="AU68" s="389"/>
      <c r="AV68" s="389"/>
      <c r="AW68" s="389"/>
      <c r="AX68" s="389"/>
      <c r="AZ68" s="394"/>
    </row>
    <row r="69" spans="1:52" s="357" customFormat="1" ht="13.5" customHeight="1" x14ac:dyDescent="0.25">
      <c r="A69" s="446"/>
      <c r="B69" s="1430" t="s">
        <v>696</v>
      </c>
      <c r="C69" s="1636">
        <f>SUM(D62:D68)</f>
        <v>0</v>
      </c>
      <c r="D69" s="1613"/>
      <c r="E69" s="1612">
        <f>SUM(F62:F68)</f>
        <v>0</v>
      </c>
      <c r="F69" s="1613"/>
      <c r="G69" s="1612">
        <f>SUM(H62:H68)</f>
        <v>0</v>
      </c>
      <c r="H69" s="1613"/>
      <c r="I69" s="1612">
        <f>SUM(J62:J68)</f>
        <v>0</v>
      </c>
      <c r="J69" s="1613"/>
      <c r="K69" s="1612">
        <f>SUM(L62:L68)</f>
        <v>0</v>
      </c>
      <c r="L69" s="1613"/>
      <c r="M69" s="1612">
        <f>SUM(N62:N63)</f>
        <v>0</v>
      </c>
      <c r="N69" s="1613"/>
      <c r="O69" s="1612">
        <f>SUM(C69:N69)</f>
        <v>0</v>
      </c>
      <c r="P69" s="1613"/>
      <c r="Q69" s="1366"/>
      <c r="R69" s="1431" t="s">
        <v>696</v>
      </c>
      <c r="S69" s="1636">
        <f>SUM(T62:T68)</f>
        <v>0</v>
      </c>
      <c r="T69" s="1613"/>
      <c r="U69" s="1612">
        <f>SUM(V62:V68)</f>
        <v>0</v>
      </c>
      <c r="V69" s="1613"/>
      <c r="W69" s="1612">
        <f>SUM(X62:X68)</f>
        <v>0</v>
      </c>
      <c r="X69" s="1613"/>
      <c r="Y69" s="1612">
        <f>SUM(Z62:Z68)</f>
        <v>0</v>
      </c>
      <c r="Z69" s="1613"/>
      <c r="AA69" s="1612">
        <f>SUM(AB62:AB68)</f>
        <v>0</v>
      </c>
      <c r="AB69" s="1613"/>
      <c r="AC69" s="1612">
        <f>SUM(AD62:AD63)</f>
        <v>0</v>
      </c>
      <c r="AD69" s="1613"/>
      <c r="AE69" s="1612">
        <f>SUM(S69:AD69)</f>
        <v>0</v>
      </c>
      <c r="AF69" s="1614"/>
      <c r="AG69" s="389"/>
      <c r="AH69" s="389"/>
      <c r="AI69" s="477"/>
      <c r="AJ69" s="477"/>
      <c r="AK69" s="477"/>
      <c r="AL69" s="477"/>
      <c r="AM69" s="477"/>
      <c r="AN69" s="477"/>
      <c r="AO69" s="477"/>
      <c r="AP69" s="389"/>
      <c r="AQ69" s="389"/>
      <c r="AR69" s="389"/>
      <c r="AS69" s="389"/>
      <c r="AT69" s="389"/>
      <c r="AU69" s="389"/>
      <c r="AV69" s="389"/>
      <c r="AW69" s="389"/>
      <c r="AX69" s="389"/>
      <c r="AZ69" s="394"/>
    </row>
    <row r="70" spans="1:52" ht="6" customHeight="1" x14ac:dyDescent="0.25">
      <c r="B70" s="1390"/>
      <c r="C70" s="1373"/>
      <c r="D70" s="1373"/>
      <c r="E70" s="1373"/>
      <c r="F70" s="1373"/>
      <c r="G70" s="1373"/>
      <c r="H70" s="1373"/>
      <c r="I70" s="1373"/>
      <c r="J70" s="1373"/>
      <c r="K70" s="1373"/>
      <c r="L70" s="1373"/>
      <c r="M70" s="1373"/>
      <c r="N70" s="1373"/>
      <c r="O70" s="1373"/>
      <c r="P70" s="1373"/>
      <c r="Q70" s="1366"/>
      <c r="R70" s="1373"/>
      <c r="S70" s="1373"/>
      <c r="T70" s="1373"/>
      <c r="U70" s="1373"/>
      <c r="V70" s="1373"/>
      <c r="W70" s="1373"/>
      <c r="X70" s="1373"/>
      <c r="Y70" s="1373"/>
      <c r="Z70" s="1373"/>
      <c r="AA70" s="1373"/>
      <c r="AB70" s="1373"/>
      <c r="AC70" s="1373"/>
      <c r="AD70" s="1373"/>
      <c r="AE70" s="1373"/>
      <c r="AF70" s="1391"/>
      <c r="AG70" s="386"/>
      <c r="AH70" s="386"/>
      <c r="AI70" s="477"/>
      <c r="AJ70" s="477"/>
      <c r="AK70" s="477"/>
      <c r="AL70" s="477"/>
      <c r="AM70" s="477"/>
      <c r="AN70" s="477"/>
      <c r="AO70" s="477"/>
      <c r="AP70" s="386"/>
      <c r="AQ70" s="386"/>
      <c r="AR70" s="386"/>
      <c r="AS70" s="386"/>
      <c r="AT70" s="386"/>
      <c r="AU70" s="386"/>
      <c r="AV70" s="386"/>
      <c r="AW70" s="386"/>
      <c r="AX70" s="386"/>
    </row>
    <row r="71" spans="1:52" ht="15" customHeight="1" x14ac:dyDescent="0.25">
      <c r="B71" s="1615">
        <f>C79</f>
        <v>44108</v>
      </c>
      <c r="C71" s="1616"/>
      <c r="D71" s="1616"/>
      <c r="E71" s="1366"/>
      <c r="F71" s="1366"/>
      <c r="G71" s="1366"/>
      <c r="H71" s="1366"/>
      <c r="I71" s="1366"/>
      <c r="J71" s="1366"/>
      <c r="K71" s="1432"/>
      <c r="L71" s="1366"/>
      <c r="M71" s="1366"/>
      <c r="N71" s="1366"/>
      <c r="O71" s="1366"/>
      <c r="P71" s="1366"/>
      <c r="Q71" s="1366"/>
      <c r="R71" s="1615">
        <f>S79</f>
        <v>44136</v>
      </c>
      <c r="S71" s="1616"/>
      <c r="T71" s="1616"/>
      <c r="U71" s="1366"/>
      <c r="V71" s="1366"/>
      <c r="W71" s="1366"/>
      <c r="X71" s="1366"/>
      <c r="Y71" s="1366"/>
      <c r="Z71" s="1366"/>
      <c r="AA71" s="1366"/>
      <c r="AB71" s="1366"/>
      <c r="AC71" s="1366"/>
      <c r="AD71" s="1366"/>
      <c r="AE71" s="1366"/>
      <c r="AF71" s="1393"/>
      <c r="AG71" s="389"/>
      <c r="AH71" s="389"/>
      <c r="AI71" s="477"/>
      <c r="AJ71" s="477"/>
      <c r="AK71" s="477"/>
      <c r="AL71" s="477"/>
      <c r="AM71" s="477"/>
      <c r="AN71" s="477"/>
      <c r="AO71" s="477"/>
      <c r="AP71" s="389"/>
      <c r="AQ71" s="389"/>
      <c r="AR71" s="389"/>
      <c r="AS71" s="386"/>
      <c r="AT71" s="386"/>
      <c r="AU71" s="386"/>
      <c r="AV71" s="386"/>
      <c r="AW71" s="386"/>
      <c r="AX71" s="386"/>
    </row>
    <row r="72" spans="1:52" s="377" customFormat="1" ht="7.5" customHeight="1" x14ac:dyDescent="0.25">
      <c r="A72" s="357"/>
      <c r="B72" s="1433" t="s">
        <v>691</v>
      </c>
      <c r="C72" s="1403"/>
      <c r="D72" s="1399">
        <f>COUNTIF(D73:D79,"&gt;0")</f>
        <v>0</v>
      </c>
      <c r="E72" s="1398"/>
      <c r="F72" s="1399">
        <f>COUNTIF(F73:F79,"&gt;0")</f>
        <v>0</v>
      </c>
      <c r="G72" s="1398"/>
      <c r="H72" s="1399">
        <f>COUNTIF(H73:H79,"&gt;0")</f>
        <v>0</v>
      </c>
      <c r="I72" s="1398"/>
      <c r="J72" s="1399">
        <f>COUNTIF(J73:J79,"&gt;0")</f>
        <v>0</v>
      </c>
      <c r="K72" s="1398"/>
      <c r="L72" s="1399">
        <f>COUNTIF(L73:L79,"&gt;0")</f>
        <v>0</v>
      </c>
      <c r="M72" s="1398"/>
      <c r="N72" s="1399">
        <f>COUNTIF(N73:N74,"&gt;0")</f>
        <v>0</v>
      </c>
      <c r="O72" s="1404"/>
      <c r="P72" s="1404"/>
      <c r="Q72" s="1366"/>
      <c r="R72" s="1402" t="s">
        <v>691</v>
      </c>
      <c r="S72" s="1403"/>
      <c r="T72" s="1399">
        <f>COUNTIF(T73:T79,"&gt;0")</f>
        <v>0</v>
      </c>
      <c r="U72" s="1398"/>
      <c r="V72" s="1399">
        <f>COUNTIF(V73:V79,"&gt;0")</f>
        <v>0</v>
      </c>
      <c r="W72" s="1398"/>
      <c r="X72" s="1399">
        <f>COUNTIF(X73:X79,"&gt;0")</f>
        <v>0</v>
      </c>
      <c r="Y72" s="1398"/>
      <c r="Z72" s="1399">
        <f>COUNTIF(Z73:Z79,"&gt;0")</f>
        <v>0</v>
      </c>
      <c r="AA72" s="1398"/>
      <c r="AB72" s="1399">
        <f>COUNTIF(AB73:AB79,"&gt;0")</f>
        <v>0</v>
      </c>
      <c r="AC72" s="1398"/>
      <c r="AD72" s="1399">
        <f>COUNTIF(AD73:AD74,"&gt;0")</f>
        <v>0</v>
      </c>
      <c r="AE72" s="1404"/>
      <c r="AF72" s="1405"/>
      <c r="AG72" s="388"/>
      <c r="AH72" s="388"/>
      <c r="AI72" s="477"/>
      <c r="AJ72" s="477"/>
      <c r="AK72" s="477"/>
      <c r="AL72" s="477"/>
      <c r="AM72" s="477"/>
      <c r="AN72" s="477"/>
      <c r="AO72" s="477"/>
      <c r="AP72" s="388"/>
      <c r="AQ72" s="388"/>
      <c r="AR72" s="388"/>
      <c r="AS72" s="388"/>
      <c r="AT72" s="388"/>
      <c r="AU72" s="388"/>
      <c r="AV72" s="388"/>
      <c r="AW72" s="388"/>
      <c r="AX72" s="388"/>
      <c r="AZ72" s="394"/>
    </row>
    <row r="73" spans="1:52" s="377" customFormat="1" ht="13.5" customHeight="1" x14ac:dyDescent="0.25">
      <c r="A73" s="446"/>
      <c r="B73" s="1406" t="s">
        <v>567</v>
      </c>
      <c r="C73" s="1407" t="str">
        <f>IF(DAY(Oct_Dim1)=1,"",IF(AND(YEAR(Oct_Dim1+1)=Année_Calendaire,MONTH(Oct_Dim1+1)=10),Oct_Dim1+1,""))</f>
        <v/>
      </c>
      <c r="D73" s="1728"/>
      <c r="E73" s="1408">
        <f>IF(DAY(Oct_Dim1)=1,IF(AND(YEAR(Oct_Dim1+1)=Année_Calendaire,MONTH(Oct_Dim1+1)=10),Oct_Dim1+1,""),IF(AND(YEAR(Oct_Dim1+8)=Année_Calendaire,MONTH(Oct_Dim1+8)=10),Oct_Dim1+8,""))</f>
        <v>44109</v>
      </c>
      <c r="F73" s="1728"/>
      <c r="G73" s="1409">
        <f>IF(DAY(Oct_Dim1)=1,IF(AND(YEAR(Oct_Dim1+8)=Année_Calendaire,MONTH(Oct_Dim1+8)=10),Oct_Dim1+8,""),IF(AND(YEAR(Oct_Dim1+15)=Année_Calendaire,MONTH(Oct_Dim1+15)=10),Oct_Dim1+15,""))</f>
        <v>44116</v>
      </c>
      <c r="H73" s="1728"/>
      <c r="I73" s="1409">
        <f>IF(DAY(Oct_Dim1)=1,IF(AND(YEAR(Oct_Dim1+15)=Année_Calendaire,MONTH(Oct_Dim1+15)=10),Oct_Dim1+15,""),IF(AND(YEAR(Oct_Dim1+22)=Année_Calendaire,MONTH(Oct_Dim1+22)=10),Oct_Dim1+22,""))</f>
        <v>44123</v>
      </c>
      <c r="J73" s="1728"/>
      <c r="K73" s="1409">
        <f>IF(DAY(Oct_Dim1)=1,IF(AND(YEAR(Oct_Dim1+22)=Année_Calendaire,MONTH(Oct_Dim1+22)=10),Oct_Dim1+22,""),IF(AND(YEAR(Oct_Dim1+29)=Année_Calendaire,MONTH(Oct_Dim1+29)=10),Oct_Dim1+29,""))</f>
        <v>44130</v>
      </c>
      <c r="L73" s="1728"/>
      <c r="M73" s="1409" t="str">
        <f>IF(DAY(Oct_Dim1)=1,IF(AND(YEAR(Oct_Dim1+29)=Année_Calendaire,MONTH(Oct_Dim1+29)=10),Oct_Dim1+29,""),IF(AND(YEAR(Oct_Dim1+36)=Année_Calendaire,MONTH(Oct_Dim1+36)=10),Oct_Dim1+36,""))</f>
        <v/>
      </c>
      <c r="N73" s="1728"/>
      <c r="O73" s="1410">
        <f>COUNTIF(C73:N79,P73)</f>
        <v>0</v>
      </c>
      <c r="P73" s="1411" t="s">
        <v>37</v>
      </c>
      <c r="Q73" s="1366"/>
      <c r="R73" s="1412" t="s">
        <v>567</v>
      </c>
      <c r="S73" s="1407" t="str">
        <f>IF(DAY(Nov_Dim1)=1,"",IF(AND(YEAR(Nov_Dim1+1)=Année_Calendaire,MONTH(Nov_Dim1+1)=11),Nov_Dim1+1,""))</f>
        <v/>
      </c>
      <c r="T73" s="1728"/>
      <c r="U73" s="1408">
        <f>IF(DAY(Nov_Dim1)=1,IF(AND(YEAR(Nov_Dim1+1)=Année_Calendaire,MONTH(Nov_Dim1+1)=11),Nov_Dim1+1,""),IF(AND(YEAR(Nov_Dim1+8)=Année_Calendaire,MONTH(Nov_Dim1+8)=11),Nov_Dim1+8,""))</f>
        <v>44137</v>
      </c>
      <c r="V73" s="1728"/>
      <c r="W73" s="1409">
        <f>IF(DAY(Nov_Dim1)=1,IF(AND(YEAR(Nov_Dim1+8)=Année_Calendaire,MONTH(Nov_Dim1+8)=11),Nov_Dim1+8,""),IF(AND(YEAR(Nov_Dim1+15)=Année_Calendaire,MONTH(Nov_Dim1+15)=11),Nov_Dim1+15,""))</f>
        <v>44144</v>
      </c>
      <c r="X73" s="1728"/>
      <c r="Y73" s="1409">
        <f>IF(DAY(Nov_Dim1)=1,IF(AND(YEAR(Nov_Dim1+15)=Année_Calendaire,MONTH(Nov_Dim1+15)=11),Nov_Dim1+15,""),IF(AND(YEAR(Nov_Dim1+22)=Année_Calendaire,MONTH(Nov_Dim1+22)=11),Nov_Dim1+22,""))</f>
        <v>44151</v>
      </c>
      <c r="Z73" s="1728"/>
      <c r="AA73" s="1409">
        <f>IF(DAY(Nov_Dim1)=1,IF(AND(YEAR(Nov_Dim1+22)=Année_Calendaire,MONTH(Nov_Dim1+22)=11),Nov_Dim1+22,""),IF(AND(YEAR(Nov_Dim1+29)=Année_Calendaire,MONTH(Nov_Dim1+29)=11),Nov_Dim1+29,""))</f>
        <v>44158</v>
      </c>
      <c r="AB73" s="1728"/>
      <c r="AC73" s="1409">
        <f>IF(DAY(Nov_Dim1)=1,IF(AND(YEAR(Nov_Dim1+29)=Année_Calendaire,MONTH(Nov_Dim1+29)=11),Nov_Dim1+29,""),IF(AND(YEAR(Nov_Dim1+36)=Année_Calendaire,MONTH(Nov_Dim1+36)=11),Nov_Dim1+36,""))</f>
        <v>44165</v>
      </c>
      <c r="AD73" s="1728"/>
      <c r="AE73" s="1410">
        <f>COUNTIF(S73:AD79,AF73)</f>
        <v>0</v>
      </c>
      <c r="AF73" s="1413" t="s">
        <v>37</v>
      </c>
      <c r="AG73" s="388"/>
      <c r="AH73" s="388"/>
      <c r="AI73" s="477"/>
      <c r="AJ73" s="477"/>
      <c r="AK73" s="477"/>
      <c r="AL73" s="477"/>
      <c r="AM73" s="477"/>
      <c r="AN73" s="477"/>
      <c r="AO73" s="477"/>
      <c r="AP73" s="388"/>
      <c r="AQ73" s="388"/>
      <c r="AR73" s="388"/>
      <c r="AS73" s="388"/>
      <c r="AT73" s="388"/>
      <c r="AU73" s="388"/>
      <c r="AV73" s="388"/>
      <c r="AW73" s="388"/>
      <c r="AX73" s="388"/>
      <c r="AZ73" s="394"/>
    </row>
    <row r="74" spans="1:52" s="357" customFormat="1" ht="13.5" customHeight="1" x14ac:dyDescent="0.25">
      <c r="A74" s="446"/>
      <c r="B74" s="1414" t="s">
        <v>568</v>
      </c>
      <c r="C74" s="1415" t="str">
        <f>IF(DAY(Oct_Dim1)=1,"",IF(AND(YEAR(Oct_Dim1+2)=Année_Calendaire,MONTH(Oct_Dim1+2)=10),Oct_Dim1+2,""))</f>
        <v/>
      </c>
      <c r="D74" s="1728"/>
      <c r="E74" s="428">
        <f>IF(DAY(Oct_Dim1)=1,IF(AND(YEAR(Oct_Dim1+2)=Année_Calendaire,MONTH(Oct_Dim1+2)=10),Oct_Dim1+2,""),IF(AND(YEAR(Oct_Dim1+9)=Année_Calendaire,MONTH(Oct_Dim1+9)=10),Oct_Dim1+9,""))</f>
        <v>44110</v>
      </c>
      <c r="F74" s="1728"/>
      <c r="G74" s="428">
        <f>IF(DAY(Oct_Dim1)=1,IF(AND(YEAR(Oct_Dim1+9)=Année_Calendaire,MONTH(Oct_Dim1+9)=10),Oct_Dim1+9,""),IF(AND(YEAR(Oct_Dim1+16)=Année_Calendaire,MONTH(Oct_Dim1+16)=10),Oct_Dim1+16,""))</f>
        <v>44117</v>
      </c>
      <c r="H74" s="1728"/>
      <c r="I74" s="428">
        <f>IF(DAY(Oct_Dim1)=1,IF(AND(YEAR(Oct_Dim1+16)=Année_Calendaire,MONTH(Oct_Dim1+16)=10),Oct_Dim1+16,""),IF(AND(YEAR(Oct_Dim1+23)=Année_Calendaire,MONTH(Oct_Dim1+23)=10),Oct_Dim1+23,""))</f>
        <v>44124</v>
      </c>
      <c r="J74" s="1728"/>
      <c r="K74" s="428">
        <f>IF(DAY(Oct_Dim1)=1,IF(AND(YEAR(Oct_Dim1+23)=Année_Calendaire,MONTH(Oct_Dim1+23)=10),Oct_Dim1+23,""),IF(AND(YEAR(Oct_Dim1+30)=Année_Calendaire,MONTH(Oct_Dim1+30)=10),Oct_Dim1+30,""))</f>
        <v>44131</v>
      </c>
      <c r="L74" s="1728"/>
      <c r="M74" s="429" t="str">
        <f>IF(DAY(Oct_Dim1)=1,IF(AND(YEAR(Oct_Dim1+30)=Année_Calendaire,MONTH(Oct_Dim1+30)=10),Oct_Dim1+30,""),IF(AND(YEAR(Oct_Dim1+37)=Année_Calendaire,MONTH(Oct_Dim1+37)=10),Oct_Dim1+37,""))</f>
        <v/>
      </c>
      <c r="N74" s="1728"/>
      <c r="O74" s="458">
        <f>COUNTIF(C73:N79,P74)</f>
        <v>0</v>
      </c>
      <c r="P74" s="459" t="s">
        <v>368</v>
      </c>
      <c r="Q74" s="1366"/>
      <c r="R74" s="427" t="s">
        <v>568</v>
      </c>
      <c r="S74" s="1415" t="str">
        <f>IF(DAY(Nov_Dim1)=1,"",IF(AND(YEAR(Nov_Dim1+2)=Année_Calendaire,MONTH(Nov_Dim1+2)=11),Nov_Dim1+2,""))</f>
        <v/>
      </c>
      <c r="T74" s="1728"/>
      <c r="U74" s="428">
        <f>IF(DAY(Nov_Dim1)=1,IF(AND(YEAR(Nov_Dim1+2)=Année_Calendaire,MONTH(Nov_Dim1+2)=11),Nov_Dim1+2,""),IF(AND(YEAR(Nov_Dim1+9)=Année_Calendaire,MONTH(Nov_Dim1+9)=11),Nov_Dim1+9,""))</f>
        <v>44138</v>
      </c>
      <c r="V74" s="1728"/>
      <c r="W74" s="428">
        <f>IF(DAY(Nov_Dim1)=1,IF(AND(YEAR(Nov_Dim1+9)=Année_Calendaire,MONTH(Nov_Dim1+9)=11),Nov_Dim1+9,""),IF(AND(YEAR(Nov_Dim1+16)=Année_Calendaire,MONTH(Nov_Dim1+16)=11),Nov_Dim1+16,""))</f>
        <v>44145</v>
      </c>
      <c r="X74" s="1728"/>
      <c r="Y74" s="428">
        <f>IF(DAY(Nov_Dim1)=1,IF(AND(YEAR(Nov_Dim1+16)=Année_Calendaire,MONTH(Nov_Dim1+16)=11),Nov_Dim1+16,""),IF(AND(YEAR(Nov_Dim1+23)=Année_Calendaire,MONTH(Nov_Dim1+23)=11),Nov_Dim1+23,""))</f>
        <v>44152</v>
      </c>
      <c r="Z74" s="1728"/>
      <c r="AA74" s="428">
        <f>IF(DAY(Nov_Dim1)=1,IF(AND(YEAR(Nov_Dim1+23)=Année_Calendaire,MONTH(Nov_Dim1+23)=11),Nov_Dim1+23,""),IF(AND(YEAR(Nov_Dim1+30)=Année_Calendaire,MONTH(Nov_Dim1+30)=11),Nov_Dim1+30,""))</f>
        <v>44159</v>
      </c>
      <c r="AB74" s="1728"/>
      <c r="AC74" s="429" t="str">
        <f>IF(DAY(Nov_Dim1)=1,IF(AND(YEAR(Nov_Dim1+30)=Année_Calendaire,MONTH(Nov_Dim1+30)=11),Nov_Dim1+30,""),IF(AND(YEAR(Nov_Dim1+37)=Année_Calendaire,MONTH(Nov_Dim1+37)=11),Nov_Dim1+37,""))</f>
        <v/>
      </c>
      <c r="AD74" s="1728"/>
      <c r="AE74" s="458">
        <f>COUNTIF(S73:AD79,AF74)</f>
        <v>0</v>
      </c>
      <c r="AF74" s="1416" t="s">
        <v>368</v>
      </c>
      <c r="AG74" s="389"/>
      <c r="AH74" s="389"/>
      <c r="AI74" s="477"/>
      <c r="AJ74" s="477"/>
      <c r="AK74" s="477"/>
      <c r="AL74" s="477"/>
      <c r="AM74" s="477"/>
      <c r="AN74" s="477"/>
      <c r="AO74" s="477"/>
      <c r="AP74" s="389"/>
      <c r="AQ74" s="389"/>
      <c r="AR74" s="389"/>
      <c r="AS74" s="389"/>
      <c r="AT74" s="389"/>
      <c r="AU74" s="389"/>
      <c r="AV74" s="389"/>
      <c r="AW74" s="389"/>
      <c r="AX74" s="389"/>
      <c r="AZ74" s="394"/>
    </row>
    <row r="75" spans="1:52" s="357" customFormat="1" ht="13.5" customHeight="1" x14ac:dyDescent="0.25">
      <c r="A75" s="446"/>
      <c r="B75" s="1414" t="s">
        <v>569</v>
      </c>
      <c r="C75" s="1415" t="str">
        <f>IF(DAY(Oct_Dim1)=1,"",IF(AND(YEAR(Oct_Dim1+3)=Année_Calendaire,MONTH(Oct_Dim1+3)=10),Oct_Dim1+3,""))</f>
        <v/>
      </c>
      <c r="D75" s="1728"/>
      <c r="E75" s="428">
        <f>IF(DAY(Oct_Dim1)=1,IF(AND(YEAR(Oct_Dim1+3)=Année_Calendaire,MONTH(Oct_Dim1+3)=10),Oct_Dim1+3,""),IF(AND(YEAR(Oct_Dim1+10)=Année_Calendaire,MONTH(Oct_Dim1+10)=10),Oct_Dim1+10,""))</f>
        <v>44111</v>
      </c>
      <c r="F75" s="1728"/>
      <c r="G75" s="428">
        <f>IF(DAY(Oct_Dim1)=1,IF(AND(YEAR(Oct_Dim1+10)=Année_Calendaire,MONTH(Oct_Dim1+10)=10),Oct_Dim1+10,""),IF(AND(YEAR(Oct_Dim1+17)=Année_Calendaire,MONTH(Oct_Dim1+17)=10),Oct_Dim1+17,""))</f>
        <v>44118</v>
      </c>
      <c r="H75" s="1728"/>
      <c r="I75" s="428">
        <f>IF(DAY(Oct_Dim1)=1,IF(AND(YEAR(Oct_Dim1+17)=Année_Calendaire,MONTH(Oct_Dim1+17)=10),Oct_Dim1+17,""),IF(AND(YEAR(Oct_Dim1+24)=Année_Calendaire,MONTH(Oct_Dim1+24)=10),Oct_Dim1+24,""))</f>
        <v>44125</v>
      </c>
      <c r="J75" s="1728"/>
      <c r="K75" s="428">
        <f>IF(DAY(Oct_Dim1)=1,IF(AND(YEAR(Oct_Dim1+24)=Année_Calendaire,MONTH(Oct_Dim1+24)=10),Oct_Dim1+24,""),IF(AND(YEAR(Oct_Dim1+31)=Année_Calendaire,MONTH(Oct_Dim1+31)=10),Oct_Dim1+31,""))</f>
        <v>44132</v>
      </c>
      <c r="L75" s="1728"/>
      <c r="M75" s="1417" t="s">
        <v>685</v>
      </c>
      <c r="N75" s="1418"/>
      <c r="O75" s="460">
        <f>COUNTIF(C73:N79,P75)</f>
        <v>0</v>
      </c>
      <c r="P75" s="461" t="s">
        <v>7</v>
      </c>
      <c r="Q75" s="1366"/>
      <c r="R75" s="427" t="s">
        <v>569</v>
      </c>
      <c r="S75" s="1415" t="str">
        <f>IF(DAY(Nov_Dim1)=1,"",IF(AND(YEAR(Nov_Dim1+3)=Année_Calendaire,MONTH(Nov_Dim1+3)=11),Nov_Dim1+3,""))</f>
        <v/>
      </c>
      <c r="T75" s="1728"/>
      <c r="U75" s="428">
        <f>IF(DAY(Nov_Dim1)=1,IF(AND(YEAR(Nov_Dim1+3)=Année_Calendaire,MONTH(Nov_Dim1+3)=11),Nov_Dim1+3,""),IF(AND(YEAR(Nov_Dim1+10)=Année_Calendaire,MONTH(Nov_Dim1+10)=11),Nov_Dim1+10,""))</f>
        <v>44139</v>
      </c>
      <c r="V75" s="1728"/>
      <c r="W75" s="428">
        <f>IF(DAY(Nov_Dim1)=1,IF(AND(YEAR(Nov_Dim1+10)=Année_Calendaire,MONTH(Nov_Dim1+10)=11),Nov_Dim1+10,""),IF(AND(YEAR(Nov_Dim1+17)=Année_Calendaire,MONTH(Nov_Dim1+17)=11),Nov_Dim1+17,""))</f>
        <v>44146</v>
      </c>
      <c r="X75" s="1728"/>
      <c r="Y75" s="428">
        <f>IF(DAY(Nov_Dim1)=1,IF(AND(YEAR(Nov_Dim1+17)=Année_Calendaire,MONTH(Nov_Dim1+17)=11),Nov_Dim1+17,""),IF(AND(YEAR(Nov_Dim1+24)=Année_Calendaire,MONTH(Nov_Dim1+24)=11),Nov_Dim1+24,""))</f>
        <v>44153</v>
      </c>
      <c r="Z75" s="1728"/>
      <c r="AA75" s="428">
        <f>IF(DAY(Nov_Dim1)=1,IF(AND(YEAR(Nov_Dim1+24)=Année_Calendaire,MONTH(Nov_Dim1+24)=11),Nov_Dim1+24,""),IF(AND(YEAR(Nov_Dim1+31)=Année_Calendaire,MONTH(Nov_Dim1+31)=11),Nov_Dim1+31,""))</f>
        <v>44160</v>
      </c>
      <c r="AB75" s="1728"/>
      <c r="AC75" s="1417" t="s">
        <v>685</v>
      </c>
      <c r="AD75" s="1418"/>
      <c r="AE75" s="460">
        <f>COUNTIF(S73:AD79,AF75)</f>
        <v>0</v>
      </c>
      <c r="AF75" s="1419" t="s">
        <v>7</v>
      </c>
      <c r="AG75" s="389"/>
      <c r="AH75" s="389"/>
      <c r="AI75" s="477"/>
      <c r="AJ75" s="477"/>
      <c r="AK75" s="477"/>
      <c r="AL75" s="477"/>
      <c r="AM75" s="477"/>
      <c r="AN75" s="477"/>
      <c r="AO75" s="477"/>
      <c r="AP75" s="389"/>
      <c r="AQ75" s="389"/>
      <c r="AR75" s="389"/>
      <c r="AS75" s="389"/>
      <c r="AT75" s="389"/>
      <c r="AU75" s="389"/>
      <c r="AV75" s="389"/>
      <c r="AW75" s="389"/>
      <c r="AX75" s="389"/>
      <c r="AZ75" s="394"/>
    </row>
    <row r="76" spans="1:52" s="357" customFormat="1" ht="13.5" customHeight="1" x14ac:dyDescent="0.25">
      <c r="A76" s="446"/>
      <c r="B76" s="1414" t="s">
        <v>556</v>
      </c>
      <c r="C76" s="1415">
        <f>IF(DAY(Oct_Dim1)=1,"",IF(AND(YEAR(Oct_Dim1+4)=Année_Calendaire,MONTH(Oct_Dim1+4)=10),Oct_Dim1+4,""))</f>
        <v>44105</v>
      </c>
      <c r="D76" s="1728"/>
      <c r="E76" s="428">
        <f>IF(DAY(Oct_Dim1)=1,IF(AND(YEAR(Oct_Dim1+4)=Année_Calendaire,MONTH(Oct_Dim1+4)=10),Oct_Dim1+4,""),IF(AND(YEAR(Oct_Dim1+11)=Année_Calendaire,MONTH(Oct_Dim1+11)=10),Oct_Dim1+11,""))</f>
        <v>44112</v>
      </c>
      <c r="F76" s="1728"/>
      <c r="G76" s="428">
        <f>IF(DAY(Oct_Dim1)=1,IF(AND(YEAR(Oct_Dim1+11)=Année_Calendaire,MONTH(Oct_Dim1+11)=10),Oct_Dim1+11,""),IF(AND(YEAR(Oct_Dim1+18)=Année_Calendaire,MONTH(Oct_Dim1+18)=10),Oct_Dim1+18,""))</f>
        <v>44119</v>
      </c>
      <c r="H76" s="1728"/>
      <c r="I76" s="428">
        <f>IF(DAY(Oct_Dim1)=1,IF(AND(YEAR(Oct_Dim1+18)=Année_Calendaire,MONTH(Oct_Dim1+18)=10),Oct_Dim1+18,""),IF(AND(YEAR(Oct_Dim1+25)=Année_Calendaire,MONTH(Oct_Dim1+25)=10),Oct_Dim1+25,""))</f>
        <v>44126</v>
      </c>
      <c r="J76" s="1728"/>
      <c r="K76" s="428">
        <f>IF(DAY(Oct_Dim1)=1,IF(AND(YEAR(Oct_Dim1+25)=Année_Calendaire,MONTH(Oct_Dim1+25)=10),Oct_Dim1+25,""),IF(AND(YEAR(Oct_Dim1+32)=Année_Calendaire,MONTH(Oct_Dim1+32)=10),Oct_Dim1+32,""))</f>
        <v>44133</v>
      </c>
      <c r="L76" s="1728"/>
      <c r="M76" s="1628">
        <f>SUM(D73:D79,F73:F79,H73:H79,J73:J79,L73:L79,N73:N74)</f>
        <v>0</v>
      </c>
      <c r="N76" s="1629"/>
      <c r="O76" s="462">
        <f>COUNTIF(C73:N79,P76)</f>
        <v>0</v>
      </c>
      <c r="P76" s="463" t="s">
        <v>373</v>
      </c>
      <c r="Q76" s="1366"/>
      <c r="R76" s="427" t="s">
        <v>556</v>
      </c>
      <c r="S76" s="1415" t="str">
        <f>IF(DAY(Nov_Dim1)=1,"",IF(AND(YEAR(Nov_Dim1+4)=Année_Calendaire,MONTH(Nov_Dim1+4)=11),Nov_Dim1+4,""))</f>
        <v/>
      </c>
      <c r="T76" s="1728"/>
      <c r="U76" s="428">
        <f>IF(DAY(Nov_Dim1)=1,IF(AND(YEAR(Nov_Dim1+4)=Année_Calendaire,MONTH(Nov_Dim1+4)=11),Nov_Dim1+4,""),IF(AND(YEAR(Nov_Dim1+11)=Année_Calendaire,MONTH(Nov_Dim1+11)=11),Nov_Dim1+11,""))</f>
        <v>44140</v>
      </c>
      <c r="V76" s="1728"/>
      <c r="W76" s="428">
        <f>IF(DAY(Nov_Dim1)=1,IF(AND(YEAR(Nov_Dim1+11)=Année_Calendaire,MONTH(Nov_Dim1+11)=11),Nov_Dim1+11,""),IF(AND(YEAR(Nov_Dim1+18)=Année_Calendaire,MONTH(Nov_Dim1+18)=11),Nov_Dim1+18,""))</f>
        <v>44147</v>
      </c>
      <c r="X76" s="1728"/>
      <c r="Y76" s="428">
        <f>IF(DAY(Nov_Dim1)=1,IF(AND(YEAR(Nov_Dim1+18)=Année_Calendaire,MONTH(Nov_Dim1+18)=11),Nov_Dim1+18,""),IF(AND(YEAR(Nov_Dim1+25)=Année_Calendaire,MONTH(Nov_Dim1+25)=11),Nov_Dim1+25,""))</f>
        <v>44154</v>
      </c>
      <c r="Z76" s="1728"/>
      <c r="AA76" s="428">
        <f>IF(DAY(Nov_Dim1)=1,IF(AND(YEAR(Nov_Dim1+25)=Année_Calendaire,MONTH(Nov_Dim1+25)=11),Nov_Dim1+25,""),IF(AND(YEAR(Nov_Dim1+32)=Année_Calendaire,MONTH(Nov_Dim1+32)=11),Nov_Dim1+32,""))</f>
        <v>44161</v>
      </c>
      <c r="AB76" s="1728"/>
      <c r="AC76" s="1628">
        <f>SUM(T73:T79,V73:V79,X73:X79,Z73:Z79,AB73:AB79,AD73:AD74)</f>
        <v>0</v>
      </c>
      <c r="AD76" s="1629"/>
      <c r="AE76" s="462">
        <f>COUNTIF(S73:AD79,AF76)</f>
        <v>0</v>
      </c>
      <c r="AF76" s="1421" t="s">
        <v>373</v>
      </c>
      <c r="AG76" s="389"/>
      <c r="AH76" s="389"/>
      <c r="AI76" s="477"/>
      <c r="AJ76" s="477"/>
      <c r="AK76" s="477"/>
      <c r="AL76" s="477"/>
      <c r="AM76" s="477"/>
      <c r="AN76" s="477"/>
      <c r="AO76" s="477"/>
      <c r="AP76" s="389"/>
      <c r="AQ76" s="389"/>
      <c r="AR76" s="389"/>
      <c r="AS76" s="389"/>
      <c r="AT76" s="389"/>
      <c r="AU76" s="389"/>
      <c r="AV76" s="389"/>
      <c r="AW76" s="389"/>
      <c r="AX76" s="389"/>
      <c r="AZ76" s="394"/>
    </row>
    <row r="77" spans="1:52" s="357" customFormat="1" ht="13.5" customHeight="1" x14ac:dyDescent="0.25">
      <c r="A77" s="446"/>
      <c r="B77" s="1414" t="s">
        <v>570</v>
      </c>
      <c r="C77" s="1415">
        <f>IF(DAY(Oct_Dim1)=1,"",IF(AND(YEAR(Oct_Dim1+5)=Année_Calendaire,MONTH(Oct_Dim1+5)=10),Oct_Dim1+5,""))</f>
        <v>44106</v>
      </c>
      <c r="D77" s="1728"/>
      <c r="E77" s="428">
        <f>IF(DAY(Oct_Dim1)=1,IF(AND(YEAR(Oct_Dim1+5)=Année_Calendaire,MONTH(Oct_Dim1+5)=10),Oct_Dim1+5,""),IF(AND(YEAR(Oct_Dim1+12)=Année_Calendaire,MONTH(Oct_Dim1+12)=10),Oct_Dim1+12,""))</f>
        <v>44113</v>
      </c>
      <c r="F77" s="1728"/>
      <c r="G77" s="428">
        <f>IF(DAY(Oct_Dim1)=1,IF(AND(YEAR(Oct_Dim1+12)=Année_Calendaire,MONTH(Oct_Dim1+12)=10),Oct_Dim1+12,""),IF(AND(YEAR(Oct_Dim1+19)=Année_Calendaire,MONTH(Oct_Dim1+19)=10),Oct_Dim1+19,""))</f>
        <v>44120</v>
      </c>
      <c r="H77" s="1728"/>
      <c r="I77" s="428">
        <f>IF(DAY(Oct_Dim1)=1,IF(AND(YEAR(Oct_Dim1+19)=Année_Calendaire,MONTH(Oct_Dim1+19)=10),Oct_Dim1+19,""),IF(AND(YEAR(Oct_Dim1+26)=Année_Calendaire,MONTH(Oct_Dim1+26)=10),Oct_Dim1+26,""))</f>
        <v>44127</v>
      </c>
      <c r="J77" s="1728"/>
      <c r="K77" s="428">
        <f>IF(DAY(Oct_Dim1)=1,IF(AND(YEAR(Oct_Dim1+26)=Année_Calendaire,MONTH(Oct_Dim1+26)=10),Oct_Dim1+26,""),IF(AND(YEAR(Oct_Dim1+33)=Année_Calendaire,MONTH(Oct_Dim1+33)=10),Oct_Dim1+33,""))</f>
        <v>44134</v>
      </c>
      <c r="L77" s="1728"/>
      <c r="M77" s="433">
        <f>SUM(D72:N72)</f>
        <v>0</v>
      </c>
      <c r="N77" s="434" t="s">
        <v>387</v>
      </c>
      <c r="O77" s="464">
        <f>COUNTIF(C73:N79,P77)</f>
        <v>0</v>
      </c>
      <c r="P77" s="465" t="s">
        <v>8</v>
      </c>
      <c r="Q77" s="1366"/>
      <c r="R77" s="427" t="s">
        <v>570</v>
      </c>
      <c r="S77" s="1415" t="str">
        <f>IF(DAY(Nov_Dim1)=1,"",IF(AND(YEAR(Nov_Dim1+5)=Année_Calendaire,MONTH(Nov_Dim1+5)=11),Nov_Dim1+5,""))</f>
        <v/>
      </c>
      <c r="T77" s="1728"/>
      <c r="U77" s="428">
        <f>IF(DAY(Nov_Dim1)=1,IF(AND(YEAR(Nov_Dim1+5)=Année_Calendaire,MONTH(Nov_Dim1+5)=11),Nov_Dim1+5,""),IF(AND(YEAR(Nov_Dim1+12)=Année_Calendaire,MONTH(Nov_Dim1+12)=11),Nov_Dim1+12,""))</f>
        <v>44141</v>
      </c>
      <c r="V77" s="1728"/>
      <c r="W77" s="428">
        <f>IF(DAY(Nov_Dim1)=1,IF(AND(YEAR(Nov_Dim1+12)=Année_Calendaire,MONTH(Nov_Dim1+12)=11),Nov_Dim1+12,""),IF(AND(YEAR(Nov_Dim1+19)=Année_Calendaire,MONTH(Nov_Dim1+19)=11),Nov_Dim1+19,""))</f>
        <v>44148</v>
      </c>
      <c r="X77" s="1728"/>
      <c r="Y77" s="428">
        <f>IF(DAY(Nov_Dim1)=1,IF(AND(YEAR(Nov_Dim1+19)=Année_Calendaire,MONTH(Nov_Dim1+19)=11),Nov_Dim1+19,""),IF(AND(YEAR(Nov_Dim1+26)=Année_Calendaire,MONTH(Nov_Dim1+26)=11),Nov_Dim1+26,""))</f>
        <v>44155</v>
      </c>
      <c r="Z77" s="1728"/>
      <c r="AA77" s="428">
        <f>IF(DAY(Nov_Dim1)=1,IF(AND(YEAR(Nov_Dim1+26)=Année_Calendaire,MONTH(Nov_Dim1+26)=11),Nov_Dim1+26,""),IF(AND(YEAR(Nov_Dim1+33)=Année_Calendaire,MONTH(Nov_Dim1+33)=11),Nov_Dim1+33,""))</f>
        <v>44162</v>
      </c>
      <c r="AB77" s="1728"/>
      <c r="AC77" s="433">
        <f>SUM(T72:AD72)</f>
        <v>0</v>
      </c>
      <c r="AD77" s="434" t="s">
        <v>387</v>
      </c>
      <c r="AE77" s="464">
        <f>COUNTIF(S73:AD79,AF77)</f>
        <v>0</v>
      </c>
      <c r="AF77" s="1422" t="s">
        <v>8</v>
      </c>
      <c r="AH77" s="358"/>
      <c r="AI77" s="1618" t="s">
        <v>687</v>
      </c>
      <c r="AJ77" s="1618"/>
      <c r="AK77" s="1618"/>
      <c r="AL77" s="1618"/>
      <c r="AM77" s="1618"/>
      <c r="AN77" s="1618"/>
      <c r="AO77" s="1618"/>
      <c r="AP77" s="1618"/>
      <c r="AQ77" s="1618"/>
      <c r="AR77" s="389"/>
      <c r="AS77" s="389"/>
      <c r="AT77" s="389"/>
      <c r="AU77" s="389"/>
      <c r="AV77" s="389"/>
      <c r="AW77" s="389"/>
      <c r="AX77" s="389"/>
      <c r="AZ77" s="394"/>
    </row>
    <row r="78" spans="1:52" s="357" customFormat="1" ht="13.5" customHeight="1" x14ac:dyDescent="0.25">
      <c r="A78" s="446"/>
      <c r="B78" s="1423" t="s">
        <v>571</v>
      </c>
      <c r="C78" s="1424">
        <f>IF(DAY(Oct_Dim1)=1,"",IF(AND(YEAR(Oct_Dim1+6)=Année_Calendaire,MONTH(Oct_Dim1+6)=10),Oct_Dim1+6,""))</f>
        <v>44107</v>
      </c>
      <c r="D78" s="1728"/>
      <c r="E78" s="437">
        <f>IF(DAY(Oct_Dim1)=1,IF(AND(YEAR(Oct_Dim1+6)=Année_Calendaire,MONTH(Oct_Dim1+6)=10),Oct_Dim1+6,""),IF(AND(YEAR(Oct_Dim1+13)=Année_Calendaire,MONTH(Oct_Dim1+13)=10),Oct_Dim1+13,""))</f>
        <v>44114</v>
      </c>
      <c r="F78" s="1728"/>
      <c r="G78" s="437">
        <f>IF(DAY(Oct_Dim1)=1,IF(AND(YEAR(Oct_Dim1+13)=Année_Calendaire,MONTH(Oct_Dim1+13)=10),Oct_Dim1+13,""),IF(AND(YEAR(Oct_Dim1+20)=Année_Calendaire,MONTH(Oct_Dim1+20)=10),Oct_Dim1+20,""))</f>
        <v>44121</v>
      </c>
      <c r="H78" s="1728"/>
      <c r="I78" s="437">
        <f>IF(DAY(Oct_Dim1)=1,IF(AND(YEAR(Oct_Dim1+20)=Année_Calendaire,MONTH(Oct_Dim1+20)=10),Oct_Dim1+20,""),IF(AND(YEAR(Oct_Dim1+27)=Année_Calendaire,MONTH(Oct_Dim1+27)=10),Oct_Dim1+27,""))</f>
        <v>44128</v>
      </c>
      <c r="J78" s="1728"/>
      <c r="K78" s="437">
        <f>IF(DAY(Oct_Dim1)=1,IF(AND(YEAR(Oct_Dim1+27)=Année_Calendaire,MONTH(Oct_Dim1+27)=10),Oct_Dim1+27,""),IF(AND(YEAR(Oct_Dim1+34)=Année_Calendaire,MONTH(Oct_Dim1+34)=10),Oct_Dim1+34,""))</f>
        <v>44135</v>
      </c>
      <c r="L78" s="1728"/>
      <c r="M78" s="438" t="s">
        <v>686</v>
      </c>
      <c r="N78" s="439"/>
      <c r="O78" s="466">
        <f>COUNTIF(C73:N79,P78)</f>
        <v>0</v>
      </c>
      <c r="P78" s="467" t="s">
        <v>356</v>
      </c>
      <c r="Q78" s="1366"/>
      <c r="R78" s="436" t="s">
        <v>571</v>
      </c>
      <c r="S78" s="1424" t="str">
        <f>IF(DAY(Nov_Dim1)=1,"",IF(AND(YEAR(Nov_Dim1+6)=Année_Calendaire,MONTH(Nov_Dim1+6)=11),Nov_Dim1+6,""))</f>
        <v/>
      </c>
      <c r="T78" s="1728"/>
      <c r="U78" s="437">
        <f>IF(DAY(Nov_Dim1)=1,IF(AND(YEAR(Nov_Dim1+6)=Année_Calendaire,MONTH(Nov_Dim1+6)=11),Nov_Dim1+6,""),IF(AND(YEAR(Nov_Dim1+13)=Année_Calendaire,MONTH(Nov_Dim1+13)=11),Nov_Dim1+13,""))</f>
        <v>44142</v>
      </c>
      <c r="V78" s="1728"/>
      <c r="W78" s="437">
        <f>IF(DAY(Nov_Dim1)=1,IF(AND(YEAR(Nov_Dim1+13)=Année_Calendaire,MONTH(Nov_Dim1+13)=11),Nov_Dim1+13,""),IF(AND(YEAR(Nov_Dim1+20)=Année_Calendaire,MONTH(Nov_Dim1+20)=11),Nov_Dim1+20,""))</f>
        <v>44149</v>
      </c>
      <c r="X78" s="1728"/>
      <c r="Y78" s="437">
        <f>IF(DAY(Nov_Dim1)=1,IF(AND(YEAR(Nov_Dim1+20)=Année_Calendaire,MONTH(Nov_Dim1+20)=11),Nov_Dim1+20,""),IF(AND(YEAR(Nov_Dim1+27)=Année_Calendaire,MONTH(Nov_Dim1+27)=11),Nov_Dim1+27,""))</f>
        <v>44156</v>
      </c>
      <c r="Z78" s="1728"/>
      <c r="AA78" s="437">
        <f>IF(DAY(Nov_Dim1)=1,IF(AND(YEAR(Nov_Dim1+27)=Année_Calendaire,MONTH(Nov_Dim1+27)=11),Nov_Dim1+27,""),IF(AND(YEAR(Nov_Dim1+34)=Année_Calendaire,MONTH(Nov_Dim1+34)=11),Nov_Dim1+34,""))</f>
        <v>44163</v>
      </c>
      <c r="AB78" s="1728"/>
      <c r="AC78" s="438" t="s">
        <v>686</v>
      </c>
      <c r="AD78" s="439"/>
      <c r="AE78" s="466">
        <f>COUNTIF(S73:AD79,AF78)</f>
        <v>0</v>
      </c>
      <c r="AF78" s="1425" t="s">
        <v>356</v>
      </c>
      <c r="AG78" s="389"/>
      <c r="AH78" s="389"/>
      <c r="AI78" s="477"/>
      <c r="AJ78" s="477"/>
      <c r="AK78" s="477"/>
      <c r="AL78" s="477"/>
      <c r="AM78" s="477"/>
      <c r="AN78" s="477"/>
      <c r="AO78" s="477"/>
      <c r="AP78" s="386"/>
      <c r="AQ78" s="386"/>
      <c r="AR78" s="389"/>
      <c r="AS78" s="389"/>
      <c r="AT78" s="389"/>
      <c r="AU78" s="389"/>
      <c r="AV78" s="389"/>
      <c r="AW78" s="389"/>
      <c r="AX78" s="389"/>
      <c r="AZ78" s="394"/>
    </row>
    <row r="79" spans="1:52" ht="13.5" customHeight="1" x14ac:dyDescent="0.25">
      <c r="B79" s="1426" t="s">
        <v>572</v>
      </c>
      <c r="C79" s="1427">
        <f>IF(DAY(Oct_Dim1)=1,IF(AND(YEAR(Oct_Dim1)=Année_Calendaire,MONTH(Oct_Dim1)=10),Oct_Dim1,""),IF(AND(YEAR(Oct_Dim1+7)=Année_Calendaire,MONTH(Oct_Dim1+7)=10),Oct_Dim1+7,""))</f>
        <v>44108</v>
      </c>
      <c r="D79" s="1728"/>
      <c r="E79" s="442">
        <f>IF(DAY(Oct_Dim1)=1,IF(AND(YEAR(Oct_Dim1+7)=Année_Calendaire,MONTH(Oct_Dim1+7)=10),Oct_Dim1+7,""),IF(AND(YEAR(Oct_Dim1+14)=Année_Calendaire,MONTH(Oct_Dim1+14)=10),Oct_Dim1+14,""))</f>
        <v>44115</v>
      </c>
      <c r="F79" s="1728"/>
      <c r="G79" s="442">
        <f>IF(DAY(Oct_Dim1)=1,IF(AND(YEAR(Oct_Dim1+14)=Année_Calendaire,MONTH(Oct_Dim1+14)=10),Oct_Dim1+14,""),IF(AND(YEAR(Oct_Dim1+21)=Année_Calendaire,MONTH(Oct_Dim1+21)=10),Oct_Dim1+21,""))</f>
        <v>44122</v>
      </c>
      <c r="H79" s="1728"/>
      <c r="I79" s="442">
        <f>IF(DAY(Oct_Dim1)=1,IF(AND(YEAR(Oct_Dim1+21)=Année_Calendaire,MONTH(Oct_Dim1+21)=10),Oct_Dim1+21,""),IF(AND(YEAR(Oct_Dim1+28)=Année_Calendaire,MONTH(Oct_Dim1+28)=10),Oct_Dim1+28,""))</f>
        <v>44129</v>
      </c>
      <c r="J79" s="1728"/>
      <c r="K79" s="442" t="str">
        <f>IF(DAY(Oct_Dim1)=1,IF(AND(YEAR(Oct_Dim1+28)=Année_Calendaire,MONTH(Oct_Dim1+28)=10),Oct_Dim1+28,""),IF(AND(YEAR(Oct_Dim1+35)=Année_Calendaire,MONTH(Oct_Dim1+35)=10),Oct_Dim1+35,""))</f>
        <v/>
      </c>
      <c r="L79" s="1728"/>
      <c r="M79" s="1630">
        <f>IF(M76=0,0,M76/M77)</f>
        <v>0</v>
      </c>
      <c r="N79" s="1633"/>
      <c r="O79" s="468">
        <f>COUNTIF(C73:N79,P79)</f>
        <v>0</v>
      </c>
      <c r="P79" s="1428" t="s">
        <v>358</v>
      </c>
      <c r="Q79" s="1366"/>
      <c r="R79" s="441" t="s">
        <v>572</v>
      </c>
      <c r="S79" s="1427">
        <f>IF(DAY(Nov_Dim1)=1,IF(AND(YEAR(Nov_Dim1)=Année_Calendaire,MONTH(Nov_Dim1)=11),Nov_Dim1,""),IF(AND(YEAR(Nov_Dim1+7)=Année_Calendaire,MONTH(Nov_Dim1+7)=11),Nov_Dim1+7,""))</f>
        <v>44136</v>
      </c>
      <c r="T79" s="1728"/>
      <c r="U79" s="442">
        <f>IF(DAY(Nov_Dim1)=1,IF(AND(YEAR(Nov_Dim1+7)=Année_Calendaire,MONTH(Nov_Dim1+7)=11),Nov_Dim1+7,""),IF(AND(YEAR(Nov_Dim1+14)=Année_Calendaire,MONTH(Nov_Dim1+14)=11),Nov_Dim1+14,""))</f>
        <v>44143</v>
      </c>
      <c r="V79" s="1728"/>
      <c r="W79" s="442">
        <f>IF(DAY(Nov_Dim1)=1,IF(AND(YEAR(Nov_Dim1+14)=Année_Calendaire,MONTH(Nov_Dim1+14)=11),Nov_Dim1+14,""),IF(AND(YEAR(Nov_Dim1+21)=Année_Calendaire,MONTH(Nov_Dim1+21)=11),Nov_Dim1+21,""))</f>
        <v>44150</v>
      </c>
      <c r="X79" s="1728"/>
      <c r="Y79" s="442">
        <f>IF(DAY(Nov_Dim1)=1,IF(AND(YEAR(Nov_Dim1+21)=Année_Calendaire,MONTH(Nov_Dim1+21)=11),Nov_Dim1+21,""),IF(AND(YEAR(Nov_Dim1+28)=Année_Calendaire,MONTH(Nov_Dim1+28)=11),Nov_Dim1+28,""))</f>
        <v>44157</v>
      </c>
      <c r="Z79" s="1728"/>
      <c r="AA79" s="442">
        <f>IF(DAY(Nov_Dim1)=1,IF(AND(YEAR(Nov_Dim1+28)=Année_Calendaire,MONTH(Nov_Dim1+28)=11),Nov_Dim1+28,""),IF(AND(YEAR(Nov_Dim1+35)=Année_Calendaire,MONTH(Nov_Dim1+35)=11),Nov_Dim1+35,""))</f>
        <v>44164</v>
      </c>
      <c r="AB79" s="1728"/>
      <c r="AC79" s="1630">
        <f>IF(AC76=0,0,AC76/AC77)</f>
        <v>0</v>
      </c>
      <c r="AD79" s="1633"/>
      <c r="AE79" s="468">
        <f>COUNTIF(S73:AD79,AF79)</f>
        <v>0</v>
      </c>
      <c r="AF79" s="1429" t="s">
        <v>358</v>
      </c>
      <c r="AG79" s="386"/>
      <c r="AH79" s="386"/>
      <c r="AI79" s="477" t="s">
        <v>689</v>
      </c>
      <c r="AJ79" s="477"/>
      <c r="AK79" s="477"/>
      <c r="AL79" s="477"/>
      <c r="AM79" s="477"/>
      <c r="AN79" s="477"/>
      <c r="AO79" s="477"/>
      <c r="AP79" s="386"/>
      <c r="AQ79" s="387"/>
      <c r="AR79" s="386"/>
      <c r="AS79" s="386"/>
      <c r="AT79" s="386"/>
      <c r="AU79" s="386"/>
      <c r="AV79" s="386"/>
      <c r="AW79" s="386"/>
      <c r="AX79" s="386"/>
    </row>
    <row r="80" spans="1:52" ht="13.5" customHeight="1" x14ac:dyDescent="0.25">
      <c r="B80" s="1430" t="s">
        <v>696</v>
      </c>
      <c r="C80" s="1636">
        <f>SUM(D73:D79)</f>
        <v>0</v>
      </c>
      <c r="D80" s="1613"/>
      <c r="E80" s="1612">
        <f>SUM(F73:F79)</f>
        <v>0</v>
      </c>
      <c r="F80" s="1613"/>
      <c r="G80" s="1612">
        <f>SUM(H73:H79)</f>
        <v>0</v>
      </c>
      <c r="H80" s="1613"/>
      <c r="I80" s="1612">
        <f>SUM(J73:J79)</f>
        <v>0</v>
      </c>
      <c r="J80" s="1613"/>
      <c r="K80" s="1612">
        <f>SUM(L73:L79)</f>
        <v>0</v>
      </c>
      <c r="L80" s="1613"/>
      <c r="M80" s="1612">
        <f>SUM(N73:N74)</f>
        <v>0</v>
      </c>
      <c r="N80" s="1613"/>
      <c r="O80" s="1612">
        <f>SUM(C80:N80)</f>
        <v>0</v>
      </c>
      <c r="P80" s="1613"/>
      <c r="Q80" s="1366"/>
      <c r="R80" s="1431" t="s">
        <v>696</v>
      </c>
      <c r="S80" s="1636">
        <f>SUM(T73:T79)</f>
        <v>0</v>
      </c>
      <c r="T80" s="1613"/>
      <c r="U80" s="1612">
        <f>SUM(V73:V79)</f>
        <v>0</v>
      </c>
      <c r="V80" s="1613"/>
      <c r="W80" s="1612">
        <f>SUM(X73:X79)</f>
        <v>0</v>
      </c>
      <c r="X80" s="1613"/>
      <c r="Y80" s="1612">
        <f>SUM(Z73:Z79)</f>
        <v>0</v>
      </c>
      <c r="Z80" s="1613"/>
      <c r="AA80" s="1612">
        <f>SUM(AB73:AB79)</f>
        <v>0</v>
      </c>
      <c r="AB80" s="1613"/>
      <c r="AC80" s="1612">
        <f>SUM(AD73:AD74)</f>
        <v>0</v>
      </c>
      <c r="AD80" s="1613"/>
      <c r="AE80" s="1612">
        <f>SUM(S80:AD80)</f>
        <v>0</v>
      </c>
      <c r="AF80" s="1614"/>
      <c r="AG80" s="386"/>
      <c r="AH80" s="386"/>
      <c r="AI80" s="477"/>
      <c r="AJ80" s="477"/>
      <c r="AK80" s="477"/>
      <c r="AL80" s="477"/>
      <c r="AM80" s="477"/>
      <c r="AN80" s="477"/>
      <c r="AO80" s="477"/>
      <c r="AP80" s="386"/>
      <c r="AQ80" s="387"/>
      <c r="AR80" s="386"/>
      <c r="AS80" s="386"/>
      <c r="AT80" s="386"/>
      <c r="AU80" s="386"/>
      <c r="AV80" s="386"/>
      <c r="AW80" s="386"/>
      <c r="AX80" s="386"/>
    </row>
    <row r="81" spans="1:52" ht="6.75" customHeight="1" x14ac:dyDescent="0.25">
      <c r="B81" s="1390"/>
      <c r="C81" s="1373"/>
      <c r="D81" s="1373"/>
      <c r="E81" s="1373"/>
      <c r="F81" s="1373"/>
      <c r="G81" s="1373"/>
      <c r="H81" s="1373"/>
      <c r="I81" s="1373"/>
      <c r="J81" s="1373"/>
      <c r="K81" s="1373"/>
      <c r="L81" s="1373"/>
      <c r="M81" s="1373"/>
      <c r="N81" s="1373"/>
      <c r="O81" s="1373"/>
      <c r="P81" s="1373"/>
      <c r="Q81" s="1366"/>
      <c r="R81" s="1373"/>
      <c r="S81" s="1373"/>
      <c r="T81" s="1373"/>
      <c r="U81" s="1373"/>
      <c r="V81" s="1373"/>
      <c r="W81" s="1373"/>
      <c r="X81" s="1373"/>
      <c r="Y81" s="1373"/>
      <c r="Z81" s="1373"/>
      <c r="AA81" s="1373"/>
      <c r="AB81" s="1373"/>
      <c r="AC81" s="1373"/>
      <c r="AD81" s="1373"/>
      <c r="AE81" s="1373"/>
      <c r="AF81" s="1391"/>
      <c r="AG81" s="386"/>
      <c r="AH81" s="386"/>
      <c r="AI81" s="477"/>
      <c r="AJ81" s="477"/>
      <c r="AK81" s="477"/>
      <c r="AL81" s="477"/>
      <c r="AM81" s="477"/>
      <c r="AN81" s="477"/>
      <c r="AO81" s="477"/>
      <c r="AP81" s="386"/>
      <c r="AQ81" s="386"/>
      <c r="AR81" s="386"/>
      <c r="AS81" s="386"/>
      <c r="AT81" s="386"/>
      <c r="AU81" s="386"/>
      <c r="AV81" s="386"/>
      <c r="AW81" s="386"/>
      <c r="AX81" s="386"/>
    </row>
    <row r="82" spans="1:52" s="377" customFormat="1" ht="15" customHeight="1" x14ac:dyDescent="0.25">
      <c r="A82" s="357"/>
      <c r="B82" s="1615">
        <f>C90</f>
        <v>44171</v>
      </c>
      <c r="C82" s="1616"/>
      <c r="D82" s="1616"/>
      <c r="E82" s="1366" t="s">
        <v>588</v>
      </c>
      <c r="F82" s="1366"/>
      <c r="G82" s="1366"/>
      <c r="H82" s="1366"/>
      <c r="I82" s="1366"/>
      <c r="J82" s="1366"/>
      <c r="K82" s="1432"/>
      <c r="L82" s="1366"/>
      <c r="M82" s="1366"/>
      <c r="N82" s="1366"/>
      <c r="O82" s="1366"/>
      <c r="P82" s="1366"/>
      <c r="Q82" s="1366"/>
      <c r="R82" s="1615">
        <f>S90</f>
        <v>44199</v>
      </c>
      <c r="S82" s="1616"/>
      <c r="T82" s="1616"/>
      <c r="U82" s="1366"/>
      <c r="V82" s="1366"/>
      <c r="W82" s="1366"/>
      <c r="X82" s="1366"/>
      <c r="Y82" s="1366"/>
      <c r="Z82" s="1366"/>
      <c r="AA82" s="1432"/>
      <c r="AB82" s="1366"/>
      <c r="AC82" s="1366"/>
      <c r="AD82" s="1366"/>
      <c r="AE82" s="1366"/>
      <c r="AF82" s="1393"/>
      <c r="AG82" s="388"/>
      <c r="AH82" s="388"/>
      <c r="AI82" s="1634">
        <f>DATE(AP85,AP87,1)</f>
        <v>44197</v>
      </c>
      <c r="AJ82" s="1635"/>
      <c r="AK82" s="1635"/>
      <c r="AL82" s="1635"/>
      <c r="AM82" s="1635"/>
      <c r="AN82" s="1635"/>
      <c r="AO82" s="1635"/>
      <c r="AP82" s="388"/>
      <c r="AQ82" s="388"/>
      <c r="AR82" s="388"/>
      <c r="AS82" s="388"/>
      <c r="AT82" s="388"/>
      <c r="AU82" s="388"/>
      <c r="AV82" s="388"/>
      <c r="AW82" s="388"/>
      <c r="AX82" s="388"/>
      <c r="AZ82" s="394"/>
    </row>
    <row r="83" spans="1:52" s="377" customFormat="1" ht="7.5" customHeight="1" x14ac:dyDescent="0.25">
      <c r="A83" s="446"/>
      <c r="B83" s="1433" t="s">
        <v>691</v>
      </c>
      <c r="C83" s="1403"/>
      <c r="D83" s="1399">
        <f>COUNTIF(D84:D90,"&gt;0")</f>
        <v>0</v>
      </c>
      <c r="E83" s="1398"/>
      <c r="F83" s="1399">
        <f>COUNTIF(F84:F90,"&gt;0")</f>
        <v>0</v>
      </c>
      <c r="G83" s="1398"/>
      <c r="H83" s="1399">
        <f>COUNTIF(H84:H90,"&gt;0")</f>
        <v>0</v>
      </c>
      <c r="I83" s="1398"/>
      <c r="J83" s="1399">
        <f>COUNTIF(J84:J90,"&gt;0")</f>
        <v>0</v>
      </c>
      <c r="K83" s="1398"/>
      <c r="L83" s="1399">
        <f>COUNTIF(L84:L90,"&gt;0")</f>
        <v>0</v>
      </c>
      <c r="M83" s="1398"/>
      <c r="N83" s="1399">
        <f>COUNTIF(N84:N85,"&gt;0")</f>
        <v>0</v>
      </c>
      <c r="O83" s="1404"/>
      <c r="P83" s="1404"/>
      <c r="Q83" s="1366"/>
      <c r="R83" s="1402" t="s">
        <v>691</v>
      </c>
      <c r="S83" s="1403"/>
      <c r="T83" s="1399">
        <f>COUNTIF(T84:T90,"&gt;0")</f>
        <v>0</v>
      </c>
      <c r="U83" s="1398"/>
      <c r="V83" s="1399">
        <f>COUNTIF(V84:V90,"&gt;0")</f>
        <v>0</v>
      </c>
      <c r="W83" s="1398"/>
      <c r="X83" s="1399">
        <f>COUNTIF(X84:X90,"&gt;0")</f>
        <v>0</v>
      </c>
      <c r="Y83" s="1398"/>
      <c r="Z83" s="1399">
        <f>COUNTIF(Z84:Z90,"&gt;0")</f>
        <v>0</v>
      </c>
      <c r="AA83" s="1398"/>
      <c r="AB83" s="1399">
        <f>COUNTIF(AB84:AB90,"&gt;0")</f>
        <v>0</v>
      </c>
      <c r="AC83" s="1398"/>
      <c r="AD83" s="1399">
        <f>COUNTIF(AD84:AD85,"&gt;0")</f>
        <v>0</v>
      </c>
      <c r="AE83" s="1404"/>
      <c r="AF83" s="1405"/>
      <c r="AG83" s="388"/>
      <c r="AH83" s="388"/>
      <c r="AI83" s="394"/>
      <c r="AJ83" s="394"/>
      <c r="AK83" s="394"/>
      <c r="AL83" s="394"/>
      <c r="AM83" s="394"/>
      <c r="AN83" s="394"/>
      <c r="AO83" s="394"/>
      <c r="AP83" s="388"/>
      <c r="AQ83" s="388"/>
      <c r="AR83" s="388"/>
      <c r="AS83" s="388"/>
      <c r="AT83" s="388"/>
      <c r="AU83" s="388"/>
      <c r="AV83" s="388"/>
      <c r="AW83" s="388"/>
      <c r="AX83" s="388"/>
      <c r="AZ83" s="394"/>
    </row>
    <row r="84" spans="1:52" s="357" customFormat="1" ht="13.5" customHeight="1" x14ac:dyDescent="0.25">
      <c r="A84" s="446"/>
      <c r="B84" s="1406" t="s">
        <v>567</v>
      </c>
      <c r="C84" s="1407" t="str">
        <f>IF(DAY(Déc_Dim1)=1,"",IF(AND(YEAR(Déc_Dim1+1)=Année_Calendaire,MONTH(Déc_Dim1+1)=12),Déc_Dim1+1,""))</f>
        <v/>
      </c>
      <c r="D84" s="1728"/>
      <c r="E84" s="1408">
        <f>IF(DAY(Déc_Dim1)=1,IF(AND(YEAR(Déc_Dim1+1)=Année_Calendaire,MONTH(Déc_Dim1+1)=12),Déc_Dim1+1,""),IF(AND(YEAR(Déc_Dim1+8)=Année_Calendaire,MONTH(Déc_Dim1+8)=12),Déc_Dim1+8,""))</f>
        <v>44172</v>
      </c>
      <c r="F84" s="1728"/>
      <c r="G84" s="1409">
        <f>IF(DAY(Déc_Dim1)=1,IF(AND(YEAR(Déc_Dim1+8)=Année_Calendaire,MONTH(Déc_Dim1+8)=12),Déc_Dim1+8,""),IF(AND(YEAR(Déc_Dim1+15)=Année_Calendaire,MONTH(Déc_Dim1+15)=12),Déc_Dim1+15,""))</f>
        <v>44179</v>
      </c>
      <c r="H84" s="1728"/>
      <c r="I84" s="1409">
        <f>IF(DAY(Déc_Dim1)=1,IF(AND(YEAR(Déc_Dim1+15)=Année_Calendaire,MONTH(Déc_Dim1+15)=12),Déc_Dim1+15,""),IF(AND(YEAR(Déc_Dim1+22)=Année_Calendaire,MONTH(Déc_Dim1+22)=12),Déc_Dim1+22,""))</f>
        <v>44186</v>
      </c>
      <c r="J84" s="1728"/>
      <c r="K84" s="1409">
        <f>IF(DAY(Déc_Dim1)=1,IF(AND(YEAR(Déc_Dim1+22)=Année_Calendaire,MONTH(Déc_Dim1+22)=12),Déc_Dim1+22,""),IF(AND(YEAR(Déc_Dim1+29)=Année_Calendaire,MONTH(Déc_Dim1+29)=12),Déc_Dim1+29,""))</f>
        <v>44193</v>
      </c>
      <c r="L84" s="1728"/>
      <c r="M84" s="1409" t="str">
        <f>IF(DAY(Déc_Dim1)=1,IF(AND(YEAR(Déc_Dim1+29)=Année_Calendaire,MONTH(Déc_Dim1+29)=12),Déc_Dim1+29,""),IF(AND(YEAR(Déc_Dim1+36)=Année_Calendaire,MONTH(Déc_Dim1+36)=12),Déc_Dim1+36,""))</f>
        <v/>
      </c>
      <c r="N84" s="1728"/>
      <c r="O84" s="1410">
        <f>COUNTIF(C84:N90,P84)</f>
        <v>0</v>
      </c>
      <c r="P84" s="1411" t="s">
        <v>37</v>
      </c>
      <c r="Q84" s="1366"/>
      <c r="R84" s="1412" t="s">
        <v>567</v>
      </c>
      <c r="S84" s="1407" t="str">
        <f>AI85</f>
        <v/>
      </c>
      <c r="T84" s="1728"/>
      <c r="U84" s="1408">
        <f>AI86</f>
        <v>44200</v>
      </c>
      <c r="V84" s="1728"/>
      <c r="W84" s="1409">
        <f>AI87</f>
        <v>44207</v>
      </c>
      <c r="X84" s="1728"/>
      <c r="Y84" s="1409">
        <f>AI88</f>
        <v>44214</v>
      </c>
      <c r="Z84" s="1728"/>
      <c r="AA84" s="1409">
        <f>AI89</f>
        <v>44221</v>
      </c>
      <c r="AB84" s="1728"/>
      <c r="AC84" s="1409" t="str">
        <f>AI90</f>
        <v/>
      </c>
      <c r="AD84" s="1728"/>
      <c r="AE84" s="1410">
        <f>COUNTIF(S84:AD90,AF84)</f>
        <v>0</v>
      </c>
      <c r="AF84" s="1413" t="s">
        <v>37</v>
      </c>
      <c r="AG84" s="389"/>
      <c r="AH84" s="389"/>
      <c r="AI84" s="425" t="str">
        <f>INDEX({"Dim","Lun","Mar","Mer","Jeu","Ven","Sam"},1+MOD(AP89+1-2,7))</f>
        <v>Lun</v>
      </c>
      <c r="AJ84" s="425" t="str">
        <f>INDEX({"Dim","Lun","Mar","Mer","Jeu","Ven","Sam"},1+MOD(AP89+2-2,7))</f>
        <v>Mar</v>
      </c>
      <c r="AK84" s="425" t="str">
        <f>INDEX({"Dim","Lun","Mar","Mer","Jeu","Ven","Sam"},1+MOD(AP89+3-2,7))</f>
        <v>Mer</v>
      </c>
      <c r="AL84" s="425" t="str">
        <f>INDEX({"Dim","Lun","Mar","Mer","Jeu","Ven","Sam"},1+MOD(AP89+4-2,7))</f>
        <v>Jeu</v>
      </c>
      <c r="AM84" s="425" t="str">
        <f>INDEX({"Dim","Lun","Mar","Mer","Jeu","Ven","Sam"},1+MOD(AP89+5-2,7))</f>
        <v>Ven</v>
      </c>
      <c r="AN84" s="425" t="str">
        <f>INDEX({"Dim","Lun","Mar","Mer","Jeu","Ven","Sam"},1+MOD(AP89+6-2,7))</f>
        <v>Sam</v>
      </c>
      <c r="AO84" s="425" t="str">
        <f>INDEX({"Dim","Lun","Mar","Mer","Jeu","Ven","Sam"},1+MOD(AP89+7-2,7))</f>
        <v>Dim</v>
      </c>
      <c r="AP84" s="482" t="s">
        <v>692</v>
      </c>
      <c r="AQ84" s="1438" t="s">
        <v>1043</v>
      </c>
      <c r="AR84" s="389"/>
      <c r="AS84" s="389"/>
      <c r="AT84" s="389"/>
      <c r="AU84" s="389"/>
      <c r="AV84" s="389"/>
      <c r="AW84" s="389"/>
      <c r="AX84" s="389"/>
      <c r="AZ84" s="394"/>
    </row>
    <row r="85" spans="1:52" s="357" customFormat="1" ht="13.5" customHeight="1" x14ac:dyDescent="0.25">
      <c r="A85" s="446"/>
      <c r="B85" s="1414" t="s">
        <v>568</v>
      </c>
      <c r="C85" s="1415">
        <f>IF(DAY(Déc_Dim1)=1,"",IF(AND(YEAR(Déc_Dim1+2)=Année_Calendaire,MONTH(Déc_Dim1+2)=12),Déc_Dim1+2,""))</f>
        <v>44166</v>
      </c>
      <c r="D85" s="1728"/>
      <c r="E85" s="428">
        <f>IF(DAY(Déc_Dim1)=1,IF(AND(YEAR(Déc_Dim1+2)=Année_Calendaire,MONTH(Déc_Dim1+2)=12),Déc_Dim1+2,""),IF(AND(YEAR(Déc_Dim1+9)=Année_Calendaire,MONTH(Déc_Dim1+9)=12),Déc_Dim1+9,""))</f>
        <v>44173</v>
      </c>
      <c r="F85" s="1728"/>
      <c r="G85" s="428">
        <f>IF(DAY(Déc_Dim1)=1,IF(AND(YEAR(Déc_Dim1+9)=Année_Calendaire,MONTH(Déc_Dim1+9)=12),Déc_Dim1+9,""),IF(AND(YEAR(Déc_Dim1+16)=Année_Calendaire,MONTH(Déc_Dim1+16)=12),Déc_Dim1+16,""))</f>
        <v>44180</v>
      </c>
      <c r="H85" s="1728"/>
      <c r="I85" s="428">
        <f>IF(DAY(Déc_Dim1)=1,IF(AND(YEAR(Déc_Dim1+16)=Année_Calendaire,MONTH(Déc_Dim1+16)=12),Déc_Dim1+16,""),IF(AND(YEAR(Déc_Dim1+23)=Année_Calendaire,MONTH(Déc_Dim1+23)=12),Déc_Dim1+23,""))</f>
        <v>44187</v>
      </c>
      <c r="J85" s="1728"/>
      <c r="K85" s="428">
        <f>IF(DAY(Déc_Dim1)=1,IF(AND(YEAR(Déc_Dim1+23)=Année_Calendaire,MONTH(Déc_Dim1+23)=12),Déc_Dim1+23,""),IF(AND(YEAR(Déc_Dim1+30)=Année_Calendaire,MONTH(Déc_Dim1+30)=12),Déc_Dim1+30,""))</f>
        <v>44194</v>
      </c>
      <c r="L85" s="1728"/>
      <c r="M85" s="429" t="str">
        <f>IF(DAY(Déc_Dim1)=1,IF(AND(YEAR(Déc_Dim1+30)=Année_Calendaire,MONTH(Déc_Dim1+30)=12),Déc_Dim1+30,""),IF(AND(YEAR(Déc_Dim1+37)=Année_Calendaire,MONTH(Déc_Dim1+37)=12),Déc_Dim1+37,""))</f>
        <v/>
      </c>
      <c r="N85" s="1728"/>
      <c r="O85" s="458">
        <f>COUNTIF(C84:N90,P85)</f>
        <v>0</v>
      </c>
      <c r="P85" s="459" t="s">
        <v>368</v>
      </c>
      <c r="Q85" s="1366"/>
      <c r="R85" s="427" t="s">
        <v>568</v>
      </c>
      <c r="S85" s="1415" t="str">
        <f>AJ85</f>
        <v/>
      </c>
      <c r="T85" s="1728"/>
      <c r="U85" s="428">
        <f>AJ86</f>
        <v>44201</v>
      </c>
      <c r="V85" s="1728"/>
      <c r="W85" s="428">
        <f>AJ87</f>
        <v>44208</v>
      </c>
      <c r="X85" s="1728"/>
      <c r="Y85" s="428">
        <f>AJ88</f>
        <v>44215</v>
      </c>
      <c r="Z85" s="1728"/>
      <c r="AA85" s="428">
        <f>AJ89</f>
        <v>44222</v>
      </c>
      <c r="AB85" s="1728"/>
      <c r="AC85" s="429" t="str">
        <f>AJ90</f>
        <v/>
      </c>
      <c r="AD85" s="1728"/>
      <c r="AE85" s="458">
        <f>COUNTIF(S84:AD90,AF85)</f>
        <v>0</v>
      </c>
      <c r="AF85" s="1416" t="s">
        <v>368</v>
      </c>
      <c r="AG85" s="389"/>
      <c r="AH85" s="389"/>
      <c r="AI85" s="430" t="str">
        <f>IF(MONTH(AI82)&lt;&gt;MONTH(AI82-(WEEKDAY(AI82,1)-(AP89-1))-IF((WEEKDAY(AI82,1)-(AP89-1))&lt;=0,7,0)+(ROW(AI85)-ROW(AI85))*7+(COLUMN(AI85)-COLUMN(AI85)+1)),"",AI82-(WEEKDAY(AI82,1)-(AP89-1))-IF((WEEKDAY(AI82,1)-(AP89-1))&lt;=0,7,0)+(ROW(AI85)-ROW(AI85))*7+(COLUMN(AI85)-COLUMN(AI85)+1))</f>
        <v/>
      </c>
      <c r="AJ85" s="430" t="str">
        <f>IF(MONTH(AI82)&lt;&gt;MONTH(AI82-(WEEKDAY(AI82,1)-(AP89-1))-IF((WEEKDAY(AI82,1)-(AP89-1))&lt;=0,7,0)+(ROW(AJ85)-ROW(AI85))*7+(COLUMN(AJ85)-COLUMN(AI85)+1)),"",AI82-(WEEKDAY(AI82,1)-(AP89-1))-IF((WEEKDAY(AI82,1)-(AP89-1))&lt;=0,7,0)+(ROW(AJ85)-ROW(AI85))*7+(COLUMN(AJ85)-COLUMN(AI85)+1))</f>
        <v/>
      </c>
      <c r="AK85" s="430" t="str">
        <f>IF(MONTH(AI82)&lt;&gt;MONTH(AI82-(WEEKDAY(AI82,1)-(AP89-1))-IF((WEEKDAY(AI82,1)-(AP89-1))&lt;=0,7,0)+(ROW(AK85)-ROW(AI85))*7+(COLUMN(AK85)-COLUMN(AI85)+1)),"",AI82-(WEEKDAY(AI82,1)-(AP89-1))-IF((WEEKDAY(AI82,1)-(AP89-1))&lt;=0,7,0)+(ROW(AK85)-ROW(AI85))*7+(COLUMN(AK85)-COLUMN(AI85)+1))</f>
        <v/>
      </c>
      <c r="AL85" s="430" t="str">
        <f>IF(MONTH(AI82)&lt;&gt;MONTH(AI82-(WEEKDAY(AI82,1)-(AP89-1))-IF((WEEKDAY(AI82,1)-(AP89-1))&lt;=0,7,0)+(ROW(AL85)-ROW(AI85))*7+(COLUMN(AL85)-COLUMN(AI85)+1)),"",AI82-(WEEKDAY(AI82,1)-(AP89-1))-IF((WEEKDAY(AI82,1)-(AP89-1))&lt;=0,7,0)+(ROW(AL85)-ROW(AI85))*7+(COLUMN(AL85)-COLUMN(AI85)+1))</f>
        <v/>
      </c>
      <c r="AM85" s="430">
        <f>IF(MONTH(AI82)&lt;&gt;MONTH(AI82-(WEEKDAY(AI82,1)-(AP89-1))-IF((WEEKDAY(AI82,1)-(AP89-1))&lt;=0,7,0)+(ROW(AM85)-ROW(AI85))*7+(COLUMN(AM85)-COLUMN(AI85)+1)),"",AI82-(WEEKDAY(AI82,1)-(AP89-1))-IF((WEEKDAY(AI82,1)-(AP89-1))&lt;=0,7,0)+(ROW(AM85)-ROW(AI85))*7+(COLUMN(AM85)-COLUMN(AI85)+1))</f>
        <v>44197</v>
      </c>
      <c r="AN85" s="430">
        <f>IF(MONTH(AI82)&lt;&gt;MONTH(AI82-(WEEKDAY(AI82,1)-(AP89-1))-IF((WEEKDAY(AI82,1)-(AP89-1))&lt;=0,7,0)+(ROW(AN85)-ROW(AI85))*7+(COLUMN(AN85)-COLUMN(AI85)+1)),"",AI82-(WEEKDAY(AI82,1)-(AP89-1))-IF((WEEKDAY(AI82,1)-(AP89-1))&lt;=0,7,0)+(ROW(AN85)-ROW(AI85))*7+(COLUMN(AN85)-COLUMN(AI85)+1))</f>
        <v>44198</v>
      </c>
      <c r="AO85" s="430">
        <f>IF(MONTH(AI82)&lt;&gt;MONTH(AI82-(WEEKDAY(AI82,1)-(AP89-1))-IF((WEEKDAY(AI82,1)-(AP89-1))&lt;=0,7,0)+(ROW(AO85)-ROW(AI85))*7+(COLUMN(AO85)-COLUMN(AI85)+1)),"",AI82-(WEEKDAY(AI82,1)-(AP89-1))-IF((WEEKDAY(AI82,1)-(AP89-1))&lt;=0,7,0)+(ROW(AO85)-ROW(AI85))*7+(COLUMN(AO85)-COLUMN(AI85)+1))</f>
        <v>44199</v>
      </c>
      <c r="AP85" s="484">
        <f>Année_Calendaire+1</f>
        <v>2021</v>
      </c>
      <c r="AQ85" s="1438" t="s">
        <v>1044</v>
      </c>
      <c r="AR85" s="389"/>
      <c r="AS85" s="389"/>
      <c r="AT85" s="389"/>
      <c r="AU85" s="389"/>
      <c r="AV85" s="389"/>
      <c r="AW85" s="389"/>
      <c r="AX85" s="389"/>
      <c r="AZ85" s="394"/>
    </row>
    <row r="86" spans="1:52" s="357" customFormat="1" ht="13.5" customHeight="1" x14ac:dyDescent="0.25">
      <c r="A86" s="446"/>
      <c r="B86" s="1414" t="s">
        <v>569</v>
      </c>
      <c r="C86" s="1415">
        <f>IF(DAY(Déc_Dim1)=1,"",IF(AND(YEAR(Déc_Dim1+3)=Année_Calendaire,MONTH(Déc_Dim1+3)=12),Déc_Dim1+3,""))</f>
        <v>44167</v>
      </c>
      <c r="D86" s="1728"/>
      <c r="E86" s="428">
        <f>IF(DAY(Déc_Dim1)=1,IF(AND(YEAR(Déc_Dim1+3)=Année_Calendaire,MONTH(Déc_Dim1+3)=12),Déc_Dim1+3,""),IF(AND(YEAR(Déc_Dim1+10)=Année_Calendaire,MONTH(Déc_Dim1+10)=12),Déc_Dim1+10,""))</f>
        <v>44174</v>
      </c>
      <c r="F86" s="1728"/>
      <c r="G86" s="428">
        <f>IF(DAY(Déc_Dim1)=1,IF(AND(YEAR(Déc_Dim1+10)=Année_Calendaire,MONTH(Déc_Dim1+10)=12),Déc_Dim1+10,""),IF(AND(YEAR(Déc_Dim1+17)=Année_Calendaire,MONTH(Déc_Dim1+17)=12),Déc_Dim1+17,""))</f>
        <v>44181</v>
      </c>
      <c r="H86" s="1728"/>
      <c r="I86" s="428">
        <f>IF(DAY(Déc_Dim1)=1,IF(AND(YEAR(Déc_Dim1+17)=Année_Calendaire,MONTH(Déc_Dim1+17)=12),Déc_Dim1+17,""),IF(AND(YEAR(Déc_Dim1+24)=Année_Calendaire,MONTH(Déc_Dim1+24)=12),Déc_Dim1+24,""))</f>
        <v>44188</v>
      </c>
      <c r="J86" s="1728"/>
      <c r="K86" s="428">
        <f>IF(DAY(Déc_Dim1)=1,IF(AND(YEAR(Déc_Dim1+24)=Année_Calendaire,MONTH(Déc_Dim1+24)=12),Déc_Dim1+24,""),IF(AND(YEAR(Déc_Dim1+31)=Année_Calendaire,MONTH(Déc_Dim1+31)=12),Déc_Dim1+31,""))</f>
        <v>44195</v>
      </c>
      <c r="L86" s="1728"/>
      <c r="M86" s="1417" t="s">
        <v>685</v>
      </c>
      <c r="N86" s="1418"/>
      <c r="O86" s="460">
        <f>COUNTIF(C84:N90,P86)</f>
        <v>0</v>
      </c>
      <c r="P86" s="461" t="s">
        <v>7</v>
      </c>
      <c r="Q86" s="1366"/>
      <c r="R86" s="427" t="s">
        <v>569</v>
      </c>
      <c r="S86" s="1415" t="str">
        <f>AK85</f>
        <v/>
      </c>
      <c r="T86" s="1728"/>
      <c r="U86" s="428">
        <f>AK86</f>
        <v>44202</v>
      </c>
      <c r="V86" s="1728"/>
      <c r="W86" s="428">
        <f>AK87</f>
        <v>44209</v>
      </c>
      <c r="X86" s="1728"/>
      <c r="Y86" s="428">
        <f>AK88</f>
        <v>44216</v>
      </c>
      <c r="Z86" s="1728"/>
      <c r="AA86" s="428">
        <f>AK89</f>
        <v>44223</v>
      </c>
      <c r="AB86" s="1728"/>
      <c r="AC86" s="1417" t="s">
        <v>685</v>
      </c>
      <c r="AD86" s="1418"/>
      <c r="AE86" s="460">
        <f>COUNTIF(S84:AD90,AF86)</f>
        <v>0</v>
      </c>
      <c r="AF86" s="1419" t="s">
        <v>7</v>
      </c>
      <c r="AG86" s="389"/>
      <c r="AH86" s="389"/>
      <c r="AI86" s="430">
        <f>IF(MONTH(AI82)&lt;&gt;MONTH(AI82-(WEEKDAY(AI82,1)-(AP89-1))-IF((WEEKDAY(AI82,1)-(AP89-1))&lt;=0,7,0)+(ROW(AI86)-ROW(AI85))*7+(COLUMN(AI86)-COLUMN(AI85)+1)),"",AI82-(WEEKDAY(AI82,1)-(AP89-1))-IF((WEEKDAY(AI82,1)-(AP89-1))&lt;=0,7,0)+(ROW(AI86)-ROW(AI85))*7+(COLUMN(AI86)-COLUMN(AI85)+1))</f>
        <v>44200</v>
      </c>
      <c r="AJ86" s="430">
        <f>IF(MONTH(AI82)&lt;&gt;MONTH(AI82-(WEEKDAY(AI82,1)-(AP89-1))-IF((WEEKDAY(AI82,1)-(AP89-1))&lt;=0,7,0)+(ROW(AJ86)-ROW(AI85))*7+(COLUMN(AJ86)-COLUMN(AI85)+1)),"",AI82-(WEEKDAY(AI82,1)-(AP89-1))-IF((WEEKDAY(AI82,1)-(AP89-1))&lt;=0,7,0)+(ROW(AJ86)-ROW(AI85))*7+(COLUMN(AJ86)-COLUMN(AI85)+1))</f>
        <v>44201</v>
      </c>
      <c r="AK86" s="430">
        <f>IF(MONTH(AI82)&lt;&gt;MONTH(AI82-(WEEKDAY(AI82,1)-(AP89-1))-IF((WEEKDAY(AI82,1)-(AP89-1))&lt;=0,7,0)+(ROW(AK86)-ROW(AI85))*7+(COLUMN(AK86)-COLUMN(AI85)+1)),"",AI82-(WEEKDAY(AI82,1)-(AP89-1))-IF((WEEKDAY(AI82,1)-(AP89-1))&lt;=0,7,0)+(ROW(AK86)-ROW(AI85))*7+(COLUMN(AK86)-COLUMN(AI85)+1))</f>
        <v>44202</v>
      </c>
      <c r="AL86" s="430">
        <f>IF(MONTH(AI82)&lt;&gt;MONTH(AI82-(WEEKDAY(AI82,1)-(AP89-1))-IF((WEEKDAY(AI82,1)-(AP89-1))&lt;=0,7,0)+(ROW(AL86)-ROW(AI85))*7+(COLUMN(AL86)-COLUMN(AI85)+1)),"",AI82-(WEEKDAY(AI82,1)-(AP89-1))-IF((WEEKDAY(AI82,1)-(AP89-1))&lt;=0,7,0)+(ROW(AL86)-ROW(AI85))*7+(COLUMN(AL86)-COLUMN(AI85)+1))</f>
        <v>44203</v>
      </c>
      <c r="AM86" s="430">
        <f>IF(MONTH(AI82)&lt;&gt;MONTH(AI82-(WEEKDAY(AI82,1)-(AP89-1))-IF((WEEKDAY(AI82,1)-(AP89-1))&lt;=0,7,0)+(ROW(AM86)-ROW(AI85))*7+(COLUMN(AM86)-COLUMN(AI85)+1)),"",AI82-(WEEKDAY(AI82,1)-(AP89-1))-IF((WEEKDAY(AI82,1)-(AP89-1))&lt;=0,7,0)+(ROW(AM86)-ROW(AI85))*7+(COLUMN(AM86)-COLUMN(AI85)+1))</f>
        <v>44204</v>
      </c>
      <c r="AN86" s="430">
        <f>IF(MONTH(AI82)&lt;&gt;MONTH(AI82-(WEEKDAY(AI82,1)-(AP89-1))-IF((WEEKDAY(AI82,1)-(AP89-1))&lt;=0,7,0)+(ROW(AN86)-ROW(AI85))*7+(COLUMN(AN86)-COLUMN(AI85)+1)),"",AI82-(WEEKDAY(AI82,1)-(AP89-1))-IF((WEEKDAY(AI82,1)-(AP89-1))&lt;=0,7,0)+(ROW(AN86)-ROW(AI85))*7+(COLUMN(AN86)-COLUMN(AI85)+1))</f>
        <v>44205</v>
      </c>
      <c r="AO86" s="430">
        <f>IF(MONTH(AI82)&lt;&gt;MONTH(AI82-(WEEKDAY(AI82,1)-(AP89-1))-IF((WEEKDAY(AI82,1)-(AP89-1))&lt;=0,7,0)+(ROW(AO86)-ROW(AI85))*7+(COLUMN(AO86)-COLUMN(AI85)+1)),"",AI82-(WEEKDAY(AI82,1)-(AP89-1))-IF((WEEKDAY(AI82,1)-(AP89-1))&lt;=0,7,0)+(ROW(AO86)-ROW(AI85))*7+(COLUMN(AO86)-COLUMN(AI85)+1))</f>
        <v>44206</v>
      </c>
      <c r="AP86" s="426" t="s">
        <v>693</v>
      </c>
      <c r="AQ86" s="389"/>
      <c r="AR86" s="389"/>
      <c r="AS86" s="389"/>
      <c r="AT86" s="389"/>
      <c r="AU86" s="389"/>
      <c r="AV86" s="389"/>
      <c r="AW86" s="389"/>
      <c r="AX86" s="389"/>
      <c r="AZ86" s="394"/>
    </row>
    <row r="87" spans="1:52" s="357" customFormat="1" ht="13.5" customHeight="1" x14ac:dyDescent="0.25">
      <c r="A87" s="446"/>
      <c r="B87" s="1414" t="s">
        <v>556</v>
      </c>
      <c r="C87" s="1415">
        <f>IF(DAY(Déc_Dim1)=1,"",IF(AND(YEAR(Déc_Dim1+4)=Année_Calendaire,MONTH(Déc_Dim1+4)=12),Déc_Dim1+4,""))</f>
        <v>44168</v>
      </c>
      <c r="D87" s="1728"/>
      <c r="E87" s="428">
        <f>IF(DAY(Déc_Dim1)=1,IF(AND(YEAR(Déc_Dim1+4)=Année_Calendaire,MONTH(Déc_Dim1+4)=12),Déc_Dim1+4,""),IF(AND(YEAR(Déc_Dim1+11)=Année_Calendaire,MONTH(Déc_Dim1+11)=12),Déc_Dim1+11,""))</f>
        <v>44175</v>
      </c>
      <c r="F87" s="1728"/>
      <c r="G87" s="428">
        <f>IF(DAY(Déc_Dim1)=1,IF(AND(YEAR(Déc_Dim1+11)=Année_Calendaire,MONTH(Déc_Dim1+11)=12),Déc_Dim1+11,""),IF(AND(YEAR(Déc_Dim1+18)=Année_Calendaire,MONTH(Déc_Dim1+18)=12),Déc_Dim1+18,""))</f>
        <v>44182</v>
      </c>
      <c r="H87" s="1728"/>
      <c r="I87" s="428">
        <f>IF(DAY(Déc_Dim1)=1,IF(AND(YEAR(Déc_Dim1+18)=Année_Calendaire,MONTH(Déc_Dim1+18)=12),Déc_Dim1+18,""),IF(AND(YEAR(Déc_Dim1+25)=Année_Calendaire,MONTH(Déc_Dim1+25)=12),Déc_Dim1+25,""))</f>
        <v>44189</v>
      </c>
      <c r="J87" s="1728"/>
      <c r="K87" s="428">
        <f>IF(DAY(Déc_Dim1)=1,IF(AND(YEAR(Déc_Dim1+25)=Année_Calendaire,MONTH(Déc_Dim1+25)=12),Déc_Dim1+25,""),IF(AND(YEAR(Déc_Dim1+32)=Année_Calendaire,MONTH(Déc_Dim1+32)=12),Déc_Dim1+32,""))</f>
        <v>44196</v>
      </c>
      <c r="L87" s="1728"/>
      <c r="M87" s="1628">
        <f>SUM(D84:D90,F84:F90,H84:H90,J84:J90,L84:L90,N84:N85)</f>
        <v>0</v>
      </c>
      <c r="N87" s="1629"/>
      <c r="O87" s="462">
        <f>COUNTIF(C84:N90,P87)</f>
        <v>0</v>
      </c>
      <c r="P87" s="463" t="s">
        <v>373</v>
      </c>
      <c r="Q87" s="1366"/>
      <c r="R87" s="427" t="s">
        <v>556</v>
      </c>
      <c r="S87" s="1415" t="str">
        <f>AL85</f>
        <v/>
      </c>
      <c r="T87" s="1728"/>
      <c r="U87" s="428">
        <f>AL86</f>
        <v>44203</v>
      </c>
      <c r="V87" s="1728"/>
      <c r="W87" s="428">
        <f>AL87</f>
        <v>44210</v>
      </c>
      <c r="X87" s="1728"/>
      <c r="Y87" s="428">
        <f>AL88</f>
        <v>44217</v>
      </c>
      <c r="Z87" s="1728"/>
      <c r="AA87" s="428">
        <f>AL89</f>
        <v>44224</v>
      </c>
      <c r="AB87" s="1728"/>
      <c r="AC87" s="1628">
        <f>SUM(T84:T90,V84:V90,X84:X90,Z84:Z90,AB84:AB90,AD84:AD85)</f>
        <v>0</v>
      </c>
      <c r="AD87" s="1629"/>
      <c r="AE87" s="462">
        <f>COUNTIF(S84:AD90,AF87)</f>
        <v>0</v>
      </c>
      <c r="AF87" s="1421" t="s">
        <v>373</v>
      </c>
      <c r="AG87" s="389"/>
      <c r="AH87" s="389"/>
      <c r="AI87" s="430">
        <f>IF(MONTH(AI82)&lt;&gt;MONTH(AI82-(WEEKDAY(AI82,1)-(AP89-1))-IF((WEEKDAY(AI82,1)-(AP89-1))&lt;=0,7,0)+(ROW(AI87)-ROW(AI85))*7+(COLUMN(AI87)-COLUMN(AI85)+1)),"",AI82-(WEEKDAY(AI82,1)-(AP89-1))-IF((WEEKDAY(AI82,1)-(AP89-1))&lt;=0,7,0)+(ROW(AI87)-ROW(AI85))*7+(COLUMN(AI87)-COLUMN(AI85)+1))</f>
        <v>44207</v>
      </c>
      <c r="AJ87" s="430">
        <f>IF(MONTH(AI82)&lt;&gt;MONTH(AI82-(WEEKDAY(AI82,1)-(AP89-1))-IF((WEEKDAY(AI82,1)-(AP89-1))&lt;=0,7,0)+(ROW(AJ87)-ROW(AI85))*7+(COLUMN(AJ87)-COLUMN(AI85)+1)),"",AI82-(WEEKDAY(AI82,1)-(AP89-1))-IF((WEEKDAY(AI82,1)-(AP89-1))&lt;=0,7,0)+(ROW(AJ87)-ROW(AI85))*7+(COLUMN(AJ87)-COLUMN(AI85)+1))</f>
        <v>44208</v>
      </c>
      <c r="AK87" s="430">
        <f>IF(MONTH(AI82)&lt;&gt;MONTH(AI82-(WEEKDAY(AI82,1)-(AP89-1))-IF((WEEKDAY(AI82,1)-(AP89-1))&lt;=0,7,0)+(ROW(AK87)-ROW(AI85))*7+(COLUMN(AK87)-COLUMN(AI85)+1)),"",AI82-(WEEKDAY(AI82,1)-(AP89-1))-IF((WEEKDAY(AI82,1)-(AP89-1))&lt;=0,7,0)+(ROW(AK87)-ROW(AI85))*7+(COLUMN(AK87)-COLUMN(AI85)+1))</f>
        <v>44209</v>
      </c>
      <c r="AL87" s="430">
        <f>IF(MONTH(AI82)&lt;&gt;MONTH(AI82-(WEEKDAY(AI82,1)-(AP89-1))-IF((WEEKDAY(AI82,1)-(AP89-1))&lt;=0,7,0)+(ROW(AL87)-ROW(AI85))*7+(COLUMN(AL87)-COLUMN(AI85)+1)),"",AI82-(WEEKDAY(AI82,1)-(AP89-1))-IF((WEEKDAY(AI82,1)-(AP89-1))&lt;=0,7,0)+(ROW(AL87)-ROW(AI85))*7+(COLUMN(AL87)-COLUMN(AI85)+1))</f>
        <v>44210</v>
      </c>
      <c r="AM87" s="430">
        <f>IF(MONTH(AI82)&lt;&gt;MONTH(AI82-(WEEKDAY(AI82,1)-(AP89-1))-IF((WEEKDAY(AI82,1)-(AP89-1))&lt;=0,7,0)+(ROW(AM87)-ROW(AI85))*7+(COLUMN(AM87)-COLUMN(AI85)+1)),"",AI82-(WEEKDAY(AI82,1)-(AP89-1))-IF((WEEKDAY(AI82,1)-(AP89-1))&lt;=0,7,0)+(ROW(AM87)-ROW(AI85))*7+(COLUMN(AM87)-COLUMN(AI85)+1))</f>
        <v>44211</v>
      </c>
      <c r="AN87" s="430">
        <f>IF(MONTH(AI82)&lt;&gt;MONTH(AI82-(WEEKDAY(AI82,1)-(AP89-1))-IF((WEEKDAY(AI82,1)-(AP89-1))&lt;=0,7,0)+(ROW(AN87)-ROW(AI85))*7+(COLUMN(AN87)-COLUMN(AI85)+1)),"",AI82-(WEEKDAY(AI82,1)-(AP89-1))-IF((WEEKDAY(AI82,1)-(AP89-1))&lt;=0,7,0)+(ROW(AN87)-ROW(AI85))*7+(COLUMN(AN87)-COLUMN(AI85)+1))</f>
        <v>44212</v>
      </c>
      <c r="AO87" s="430">
        <f>IF(MONTH(AI82)&lt;&gt;MONTH(AI82-(WEEKDAY(AI82,1)-(AP89-1))-IF((WEEKDAY(AI82,1)-(AP89-1))&lt;=0,7,0)+(ROW(AO87)-ROW(AI85))*7+(COLUMN(AO87)-COLUMN(AI85)+1)),"",AI82-(WEEKDAY(AI82,1)-(AP89-1))-IF((WEEKDAY(AI82,1)-(AP89-1))&lt;=0,7,0)+(ROW(AO87)-ROW(AI85))*7+(COLUMN(AO87)-COLUMN(AI85)+1))</f>
        <v>44213</v>
      </c>
      <c r="AP87" s="484">
        <v>1</v>
      </c>
      <c r="AQ87" s="389"/>
      <c r="AR87" s="389"/>
      <c r="AS87" s="389"/>
      <c r="AT87" s="389"/>
      <c r="AU87" s="389"/>
      <c r="AV87" s="389"/>
      <c r="AW87" s="389"/>
      <c r="AX87" s="389"/>
      <c r="AZ87" s="394"/>
    </row>
    <row r="88" spans="1:52" s="357" customFormat="1" ht="13.5" customHeight="1" x14ac:dyDescent="0.25">
      <c r="A88" s="446"/>
      <c r="B88" s="1414" t="s">
        <v>570</v>
      </c>
      <c r="C88" s="1415">
        <f>IF(DAY(Déc_Dim1)=1,"",IF(AND(YEAR(Déc_Dim1+5)=Année_Calendaire,MONTH(Déc_Dim1+5)=12),Déc_Dim1+5,""))</f>
        <v>44169</v>
      </c>
      <c r="D88" s="1728"/>
      <c r="E88" s="428">
        <f>IF(DAY(Déc_Dim1)=1,IF(AND(YEAR(Déc_Dim1+5)=Année_Calendaire,MONTH(Déc_Dim1+5)=12),Déc_Dim1+5,""),IF(AND(YEAR(Déc_Dim1+12)=Année_Calendaire,MONTH(Déc_Dim1+12)=12),Déc_Dim1+12,""))</f>
        <v>44176</v>
      </c>
      <c r="F88" s="1728"/>
      <c r="G88" s="428">
        <f>IF(DAY(Déc_Dim1)=1,IF(AND(YEAR(Déc_Dim1+12)=Année_Calendaire,MONTH(Déc_Dim1+12)=12),Déc_Dim1+12,""),IF(AND(YEAR(Déc_Dim1+19)=Année_Calendaire,MONTH(Déc_Dim1+19)=12),Déc_Dim1+19,""))</f>
        <v>44183</v>
      </c>
      <c r="H88" s="1728"/>
      <c r="I88" s="428">
        <f>IF(DAY(Déc_Dim1)=1,IF(AND(YEAR(Déc_Dim1+19)=Année_Calendaire,MONTH(Déc_Dim1+19)=12),Déc_Dim1+19,""),IF(AND(YEAR(Déc_Dim1+26)=Année_Calendaire,MONTH(Déc_Dim1+26)=12),Déc_Dim1+26,""))</f>
        <v>44190</v>
      </c>
      <c r="J88" s="1728"/>
      <c r="K88" s="428" t="str">
        <f>IF(DAY(Déc_Dim1)=1,IF(AND(YEAR(Déc_Dim1+26)=Année_Calendaire,MONTH(Déc_Dim1+26)=12),Déc_Dim1+26,""),IF(AND(YEAR(Déc_Dim1+33)=Année_Calendaire,MONTH(Déc_Dim1+33)=12),Déc_Dim1+33,""))</f>
        <v/>
      </c>
      <c r="L88" s="1728"/>
      <c r="M88" s="433">
        <f>SUM(D83:N83)</f>
        <v>0</v>
      </c>
      <c r="N88" s="434" t="s">
        <v>387</v>
      </c>
      <c r="O88" s="464">
        <f>COUNTIF(C84:N90,P88)</f>
        <v>0</v>
      </c>
      <c r="P88" s="465" t="s">
        <v>8</v>
      </c>
      <c r="Q88" s="1366"/>
      <c r="R88" s="427" t="s">
        <v>570</v>
      </c>
      <c r="S88" s="1415">
        <f>AM85</f>
        <v>44197</v>
      </c>
      <c r="T88" s="1728"/>
      <c r="U88" s="428">
        <f>AM86</f>
        <v>44204</v>
      </c>
      <c r="V88" s="1728"/>
      <c r="W88" s="428">
        <f>AM87</f>
        <v>44211</v>
      </c>
      <c r="X88" s="1728"/>
      <c r="Y88" s="428">
        <f>AM88</f>
        <v>44218</v>
      </c>
      <c r="Z88" s="1728"/>
      <c r="AA88" s="428">
        <f>AM89</f>
        <v>44225</v>
      </c>
      <c r="AB88" s="1728"/>
      <c r="AC88" s="433">
        <f>SUM(T83:AD83)</f>
        <v>0</v>
      </c>
      <c r="AD88" s="434" t="s">
        <v>387</v>
      </c>
      <c r="AE88" s="464">
        <f>COUNTIF(S84:AD90,AF88)</f>
        <v>0</v>
      </c>
      <c r="AF88" s="1422" t="s">
        <v>8</v>
      </c>
      <c r="AG88" s="389"/>
      <c r="AH88" s="389"/>
      <c r="AI88" s="430">
        <f>IF(MONTH(AI82)&lt;&gt;MONTH(AI82-(WEEKDAY(AI82,1)-(AP89-1))-IF((WEEKDAY(AI82,1)-(AP89-1))&lt;=0,7,0)+(ROW(AI88)-ROW(AI85))*7+(COLUMN(AI88)-COLUMN(AI85)+1)),"",AI82-(WEEKDAY(AI82,1)-(AP89-1))-IF((WEEKDAY(AI82,1)-(AP89-1))&lt;=0,7,0)+(ROW(AI88)-ROW(AI85))*7+(COLUMN(AI88)-COLUMN(AI85)+1))</f>
        <v>44214</v>
      </c>
      <c r="AJ88" s="430">
        <f>IF(MONTH(AI82)&lt;&gt;MONTH(AI82-(WEEKDAY(AI82,1)-(AP89-1))-IF((WEEKDAY(AI82,1)-(AP89-1))&lt;=0,7,0)+(ROW(AJ88)-ROW(AI85))*7+(COLUMN(AJ88)-COLUMN(AI85)+1)),"",AI82-(WEEKDAY(AI82,1)-(AP89-1))-IF((WEEKDAY(AI82,1)-(AP89-1))&lt;=0,7,0)+(ROW(AJ88)-ROW(AI85))*7+(COLUMN(AJ88)-COLUMN(AI85)+1))</f>
        <v>44215</v>
      </c>
      <c r="AK88" s="430">
        <f>IF(MONTH(AI82)&lt;&gt;MONTH(AI82-(WEEKDAY(AI82,1)-(AP89-1))-IF((WEEKDAY(AI82,1)-(AP89-1))&lt;=0,7,0)+(ROW(AK88)-ROW(AI85))*7+(COLUMN(AK88)-COLUMN(AI85)+1)),"",AI82-(WEEKDAY(AI82,1)-(AP89-1))-IF((WEEKDAY(AI82,1)-(AP89-1))&lt;=0,7,0)+(ROW(AK88)-ROW(AI85))*7+(COLUMN(AK88)-COLUMN(AI85)+1))</f>
        <v>44216</v>
      </c>
      <c r="AL88" s="430">
        <f>IF(MONTH(AI82)&lt;&gt;MONTH(AI82-(WEEKDAY(AI82,1)-(AP89-1))-IF((WEEKDAY(AI82,1)-(AP89-1))&lt;=0,7,0)+(ROW(AL88)-ROW(AI85))*7+(COLUMN(AL88)-COLUMN(AI85)+1)),"",AI82-(WEEKDAY(AI82,1)-(AP89-1))-IF((WEEKDAY(AI82,1)-(AP89-1))&lt;=0,7,0)+(ROW(AL88)-ROW(AI85))*7+(COLUMN(AL88)-COLUMN(AI85)+1))</f>
        <v>44217</v>
      </c>
      <c r="AM88" s="430">
        <f>IF(MONTH(AI82)&lt;&gt;MONTH(AI82-(WEEKDAY(AI82,1)-(AP89-1))-IF((WEEKDAY(AI82,1)-(AP89-1))&lt;=0,7,0)+(ROW(AM88)-ROW(AI85))*7+(COLUMN(AM88)-COLUMN(AI85)+1)),"",AI82-(WEEKDAY(AI82,1)-(AP89-1))-IF((WEEKDAY(AI82,1)-(AP89-1))&lt;=0,7,0)+(ROW(AM88)-ROW(AI85))*7+(COLUMN(AM88)-COLUMN(AI85)+1))</f>
        <v>44218</v>
      </c>
      <c r="AN88" s="430">
        <f>IF(MONTH(AI82)&lt;&gt;MONTH(AI82-(WEEKDAY(AI82,1)-(AP89-1))-IF((WEEKDAY(AI82,1)-(AP89-1))&lt;=0,7,0)+(ROW(AN88)-ROW(AI85))*7+(COLUMN(AN88)-COLUMN(AI85)+1)),"",AI82-(WEEKDAY(AI82,1)-(AP89-1))-IF((WEEKDAY(AI82,1)-(AP89-1))&lt;=0,7,0)+(ROW(AN88)-ROW(AI85))*7+(COLUMN(AN88)-COLUMN(AI85)+1))</f>
        <v>44219</v>
      </c>
      <c r="AO88" s="430">
        <f>IF(MONTH(AI82)&lt;&gt;MONTH(AI82-(WEEKDAY(AI82,1)-(AP89-1))-IF((WEEKDAY(AI82,1)-(AP89-1))&lt;=0,7,0)+(ROW(AO88)-ROW(AI85))*7+(COLUMN(AO88)-COLUMN(AI85)+1)),"",AI82-(WEEKDAY(AI82,1)-(AP89-1))-IF((WEEKDAY(AI82,1)-(AP89-1))&lt;=0,7,0)+(ROW(AO88)-ROW(AI85))*7+(COLUMN(AO88)-COLUMN(AI85)+1))</f>
        <v>44220</v>
      </c>
      <c r="AP88" s="435" t="s">
        <v>694</v>
      </c>
      <c r="AQ88" s="389"/>
      <c r="AR88" s="389"/>
      <c r="AS88" s="389"/>
      <c r="AT88" s="389"/>
      <c r="AU88" s="389"/>
      <c r="AV88" s="389"/>
      <c r="AW88" s="389"/>
      <c r="AX88" s="389"/>
      <c r="AZ88" s="394"/>
    </row>
    <row r="89" spans="1:52" ht="13.5" customHeight="1" x14ac:dyDescent="0.25">
      <c r="B89" s="1423" t="s">
        <v>571</v>
      </c>
      <c r="C89" s="1424">
        <f>IF(DAY(Déc_Dim1)=1,"",IF(AND(YEAR(Déc_Dim1+6)=Année_Calendaire,MONTH(Déc_Dim1+6)=12),Déc_Dim1+6,""))</f>
        <v>44170</v>
      </c>
      <c r="D89" s="1728"/>
      <c r="E89" s="437">
        <f>IF(DAY(Déc_Dim1)=1,IF(AND(YEAR(Déc_Dim1+6)=Année_Calendaire,MONTH(Déc_Dim1+6)=12),Déc_Dim1+6,""),IF(AND(YEAR(Déc_Dim1+13)=Année_Calendaire,MONTH(Déc_Dim1+13)=12),Déc_Dim1+13,""))</f>
        <v>44177</v>
      </c>
      <c r="F89" s="1728"/>
      <c r="G89" s="437">
        <f>IF(DAY(Déc_Dim1)=1,IF(AND(YEAR(Déc_Dim1+13)=Année_Calendaire,MONTH(Déc_Dim1+13)=12),Déc_Dim1+13,""),IF(AND(YEAR(Déc_Dim1+20)=Année_Calendaire,MONTH(Déc_Dim1+20)=12),Déc_Dim1+20,""))</f>
        <v>44184</v>
      </c>
      <c r="H89" s="1728"/>
      <c r="I89" s="437">
        <f>IF(DAY(Déc_Dim1)=1,IF(AND(YEAR(Déc_Dim1+20)=Année_Calendaire,MONTH(Déc_Dim1+20)=12),Déc_Dim1+20,""),IF(AND(YEAR(Déc_Dim1+27)=Année_Calendaire,MONTH(Déc_Dim1+27)=12),Déc_Dim1+27,""))</f>
        <v>44191</v>
      </c>
      <c r="J89" s="1728"/>
      <c r="K89" s="437" t="str">
        <f>IF(DAY(Déc_Dim1)=1,IF(AND(YEAR(Déc_Dim1+27)=Année_Calendaire,MONTH(Déc_Dim1+27)=12),Déc_Dim1+27,""),IF(AND(YEAR(Déc_Dim1+34)=Année_Calendaire,MONTH(Déc_Dim1+34)=12),Déc_Dim1+34,""))</f>
        <v/>
      </c>
      <c r="L89" s="1728"/>
      <c r="M89" s="438" t="s">
        <v>686</v>
      </c>
      <c r="N89" s="439"/>
      <c r="O89" s="466">
        <f>COUNTIF(C84:N90,P89)</f>
        <v>0</v>
      </c>
      <c r="P89" s="467" t="s">
        <v>356</v>
      </c>
      <c r="Q89" s="1366"/>
      <c r="R89" s="436" t="s">
        <v>571</v>
      </c>
      <c r="S89" s="1424">
        <f>AN85</f>
        <v>44198</v>
      </c>
      <c r="T89" s="1728"/>
      <c r="U89" s="437">
        <f>AN86</f>
        <v>44205</v>
      </c>
      <c r="V89" s="1728"/>
      <c r="W89" s="437">
        <f>AN87</f>
        <v>44212</v>
      </c>
      <c r="X89" s="1728"/>
      <c r="Y89" s="437">
        <f>AN88</f>
        <v>44219</v>
      </c>
      <c r="Z89" s="1728"/>
      <c r="AA89" s="437">
        <f>AN89</f>
        <v>44226</v>
      </c>
      <c r="AB89" s="1728"/>
      <c r="AC89" s="438" t="s">
        <v>686</v>
      </c>
      <c r="AD89" s="439"/>
      <c r="AE89" s="466">
        <f>COUNTIF(S84:AD90,AF89)</f>
        <v>0</v>
      </c>
      <c r="AF89" s="1425" t="s">
        <v>356</v>
      </c>
      <c r="AG89" s="386"/>
      <c r="AH89" s="386"/>
      <c r="AI89" s="430">
        <f>IF(MONTH(AI82)&lt;&gt;MONTH(AI82-(WEEKDAY(AI82,1)-(AP89-1))-IF((WEEKDAY(AI82,1)-(AP89-1))&lt;=0,7,0)+(ROW(AI89)-ROW(AI85))*7+(COLUMN(AI89)-COLUMN(AI85)+1)),"",AI82-(WEEKDAY(AI82,1)-(AP89-1))-IF((WEEKDAY(AI82,1)-(AP89-1))&lt;=0,7,0)+(ROW(AI89)-ROW(AI85))*7+(COLUMN(AI89)-COLUMN(AI85)+1))</f>
        <v>44221</v>
      </c>
      <c r="AJ89" s="430">
        <f>IF(MONTH(AI82)&lt;&gt;MONTH(AI82-(WEEKDAY(AI82,1)-(AP89-1))-IF((WEEKDAY(AI82,1)-(AP89-1))&lt;=0,7,0)+(ROW(AJ89)-ROW(AI85))*7+(COLUMN(AJ89)-COLUMN(AI85)+1)),"",AI82-(WEEKDAY(AI82,1)-(AP89-1))-IF((WEEKDAY(AI82,1)-(AP89-1))&lt;=0,7,0)+(ROW(AJ89)-ROW(AI85))*7+(COLUMN(AJ89)-COLUMN(AI85)+1))</f>
        <v>44222</v>
      </c>
      <c r="AK89" s="430">
        <f>IF(MONTH(AI82)&lt;&gt;MONTH(AI82-(WEEKDAY(AI82,1)-(AP89-1))-IF((WEEKDAY(AI82,1)-(AP89-1))&lt;=0,7,0)+(ROW(AK89)-ROW(AI85))*7+(COLUMN(AK89)-COLUMN(AI85)+1)),"",AI82-(WEEKDAY(AI82,1)-(AP89-1))-IF((WEEKDAY(AI82,1)-(AP89-1))&lt;=0,7,0)+(ROW(AK89)-ROW(AI85))*7+(COLUMN(AK89)-COLUMN(AI85)+1))</f>
        <v>44223</v>
      </c>
      <c r="AL89" s="430">
        <f>IF(MONTH(AI82)&lt;&gt;MONTH(AI82-(WEEKDAY(AI82,1)-(AP89-1))-IF((WEEKDAY(AI82,1)-(AP89-1))&lt;=0,7,0)+(ROW(AL89)-ROW(AI85))*7+(COLUMN(AL89)-COLUMN(AI85)+1)),"",AI82-(WEEKDAY(AI82,1)-(AP89-1))-IF((WEEKDAY(AI82,1)-(AP89-1))&lt;=0,7,0)+(ROW(AL89)-ROW(AI85))*7+(COLUMN(AL89)-COLUMN(AI85)+1))</f>
        <v>44224</v>
      </c>
      <c r="AM89" s="430">
        <f>IF(MONTH(AI82)&lt;&gt;MONTH(AI82-(WEEKDAY(AI82,1)-(AP89-1))-IF((WEEKDAY(AI82,1)-(AP89-1))&lt;=0,7,0)+(ROW(AM89)-ROW(AI85))*7+(COLUMN(AM89)-COLUMN(AI85)+1)),"",AI82-(WEEKDAY(AI82,1)-(AP89-1))-IF((WEEKDAY(AI82,1)-(AP89-1))&lt;=0,7,0)+(ROW(AM89)-ROW(AI85))*7+(COLUMN(AM89)-COLUMN(AI85)+1))</f>
        <v>44225</v>
      </c>
      <c r="AN89" s="430">
        <f>IF(MONTH(AI82)&lt;&gt;MONTH(AI82-(WEEKDAY(AI82,1)-(AP89-1))-IF((WEEKDAY(AI82,1)-(AP89-1))&lt;=0,7,0)+(ROW(AN89)-ROW(AI85))*7+(COLUMN(AN89)-COLUMN(AI85)+1)),"",AI82-(WEEKDAY(AI82,1)-(AP89-1))-IF((WEEKDAY(AI82,1)-(AP89-1))&lt;=0,7,0)+(ROW(AN89)-ROW(AI85))*7+(COLUMN(AN89)-COLUMN(AI85)+1))</f>
        <v>44226</v>
      </c>
      <c r="AO89" s="430">
        <f>IF(MONTH(AI82)&lt;&gt;MONTH(AI82-(WEEKDAY(AI82,1)-(AP89-1))-IF((WEEKDAY(AI82,1)-(AP89-1))&lt;=0,7,0)+(ROW(AO89)-ROW(AI85))*7+(COLUMN(AO89)-COLUMN(AI85)+1)),"",AI82-(WEEKDAY(AI82,1)-(AP89-1))-IF((WEEKDAY(AI82,1)-(AP89-1))&lt;=0,7,0)+(ROW(AO89)-ROW(AI85))*7+(COLUMN(AO89)-COLUMN(AI85)+1))</f>
        <v>44227</v>
      </c>
      <c r="AP89" s="484">
        <v>2</v>
      </c>
      <c r="AQ89" s="386"/>
      <c r="AR89" s="386"/>
      <c r="AS89" s="386"/>
      <c r="AT89" s="386"/>
      <c r="AU89" s="386"/>
      <c r="AV89" s="386"/>
      <c r="AW89" s="386"/>
      <c r="AX89" s="386"/>
    </row>
    <row r="90" spans="1:52" ht="13.5" customHeight="1" x14ac:dyDescent="0.25">
      <c r="B90" s="1426" t="s">
        <v>572</v>
      </c>
      <c r="C90" s="1427">
        <f>IF(DAY(Déc_Dim1)=1,IF(AND(YEAR(Déc_Dim1)=Année_Calendaire,MONTH(Déc_Dim1)=12),Déc_Dim1,""),IF(AND(YEAR(Déc_Dim1+7)=Année_Calendaire,MONTH(Déc_Dim1+7)=12),Déc_Dim1+7,""))</f>
        <v>44171</v>
      </c>
      <c r="D90" s="1728"/>
      <c r="E90" s="442">
        <f>IF(DAY(Déc_Dim1)=1,IF(AND(YEAR(Déc_Dim1+7)=Année_Calendaire,MONTH(Déc_Dim1+7)=12),Déc_Dim1+7,""),IF(AND(YEAR(Déc_Dim1+14)=Année_Calendaire,MONTH(Déc_Dim1+14)=12),Déc_Dim1+14,""))</f>
        <v>44178</v>
      </c>
      <c r="F90" s="1728"/>
      <c r="G90" s="442">
        <f>IF(DAY(Déc_Dim1)=1,IF(AND(YEAR(Déc_Dim1+14)=Année_Calendaire,MONTH(Déc_Dim1+14)=12),Déc_Dim1+14,""),IF(AND(YEAR(Déc_Dim1+21)=Année_Calendaire,MONTH(Déc_Dim1+21)=12),Déc_Dim1+21,""))</f>
        <v>44185</v>
      </c>
      <c r="H90" s="1728"/>
      <c r="I90" s="442">
        <f>IF(DAY(Déc_Dim1)=1,IF(AND(YEAR(Déc_Dim1+21)=Année_Calendaire,MONTH(Déc_Dim1+21)=12),Déc_Dim1+21,""),IF(AND(YEAR(Déc_Dim1+28)=Année_Calendaire,MONTH(Déc_Dim1+28)=12),Déc_Dim1+28,""))</f>
        <v>44192</v>
      </c>
      <c r="J90" s="1728"/>
      <c r="K90" s="442" t="str">
        <f>IF(DAY(Déc_Dim1)=1,IF(AND(YEAR(Déc_Dim1+28)=Année_Calendaire,MONTH(Déc_Dim1+28)=12),Déc_Dim1+28,""),IF(AND(YEAR(Déc_Dim1+35)=Année_Calendaire,MONTH(Déc_Dim1+35)=12),Déc_Dim1+35,""))</f>
        <v/>
      </c>
      <c r="L90" s="1728"/>
      <c r="M90" s="1630">
        <f>IF(M87=0,0,M87/M88)</f>
        <v>0</v>
      </c>
      <c r="N90" s="1633"/>
      <c r="O90" s="468">
        <f>COUNTIF(C84:N90,P90)</f>
        <v>0</v>
      </c>
      <c r="P90" s="1428" t="s">
        <v>358</v>
      </c>
      <c r="Q90" s="1366"/>
      <c r="R90" s="441" t="s">
        <v>572</v>
      </c>
      <c r="S90" s="1427">
        <f>AO85</f>
        <v>44199</v>
      </c>
      <c r="T90" s="1728"/>
      <c r="U90" s="442">
        <f>AO86</f>
        <v>44206</v>
      </c>
      <c r="V90" s="1728"/>
      <c r="W90" s="442">
        <f>AO87</f>
        <v>44213</v>
      </c>
      <c r="X90" s="1728"/>
      <c r="Y90" s="442">
        <f>AO88</f>
        <v>44220</v>
      </c>
      <c r="Z90" s="1728"/>
      <c r="AA90" s="442">
        <f>AO89</f>
        <v>44227</v>
      </c>
      <c r="AB90" s="1728"/>
      <c r="AC90" s="1630">
        <f>IF(AC87=0,0,AC87/AC88)</f>
        <v>0</v>
      </c>
      <c r="AD90" s="1633"/>
      <c r="AE90" s="468">
        <f>COUNTIF(S84:AD90,AF90)</f>
        <v>0</v>
      </c>
      <c r="AF90" s="1429" t="s">
        <v>358</v>
      </c>
      <c r="AG90" s="386"/>
      <c r="AH90" s="386"/>
      <c r="AI90" s="430" t="str">
        <f>IF(MONTH(AI82)&lt;&gt;MONTH(AI82-(WEEKDAY(AI82,1)-(AP89-1))-IF((WEEKDAY(AI82,1)-(AP89-1))&lt;=0,7,0)+(ROW(AI90)-ROW(AI85))*7+(COLUMN(AI90)-COLUMN(AI85)+1)),"",AI82-(WEEKDAY(AI82,1)-(AP89-1))-IF((WEEKDAY(AI82,1)-(AP89-1))&lt;=0,7,0)+(ROW(AI90)-ROW(AI85))*7+(COLUMN(AI90)-COLUMN(AI85)+1))</f>
        <v/>
      </c>
      <c r="AJ90" s="430" t="str">
        <f>IF(MONTH(AI82)&lt;&gt;MONTH(AI82-(WEEKDAY(AI82,1)-(AP89-1))-IF((WEEKDAY(AI82,1)-(AP89-1))&lt;=0,7,0)+(ROW(AJ90)-ROW(AI85))*7+(COLUMN(AJ90)-COLUMN(AI85)+1)),"",AI82-(WEEKDAY(AI82,1)-(AP89-1))-IF((WEEKDAY(AI82,1)-(AP89-1))&lt;=0,7,0)+(ROW(AJ90)-ROW(AI85))*7+(COLUMN(AJ90)-COLUMN(AI85)+1))</f>
        <v/>
      </c>
      <c r="AK90" s="430" t="str">
        <f>IF(MONTH(AI82)&lt;&gt;MONTH(AI82-(WEEKDAY(AI82,1)-(AP89-1))-IF((WEEKDAY(AI82,1)-(AP89-1))&lt;=0,7,0)+(ROW(AK90)-ROW(AI85))*7+(COLUMN(AK90)-COLUMN(AI85)+1)),"",AI82-(WEEKDAY(AI82,1)-(AP89-1))-IF((WEEKDAY(AI82,1)-(AP89-1))&lt;=0,7,0)+(ROW(AK90)-ROW(AI85))*7+(COLUMN(AK90)-COLUMN(AI85)+1))</f>
        <v/>
      </c>
      <c r="AL90" s="430" t="str">
        <f>IF(MONTH(AI82)&lt;&gt;MONTH(AI82-(WEEKDAY(AI82,1)-(AP89-1))-IF((WEEKDAY(AI82,1)-(AP89-1))&lt;=0,7,0)+(ROW(AL90)-ROW(AI85))*7+(COLUMN(AL90)-COLUMN(AI85)+1)),"",AI82-(WEEKDAY(AI82,1)-(AP89-1))-IF((WEEKDAY(AI82,1)-(AP89-1))&lt;=0,7,0)+(ROW(AL90)-ROW(AI85))*7+(COLUMN(AL90)-COLUMN(AI85)+1))</f>
        <v/>
      </c>
      <c r="AM90" s="430" t="str">
        <f>IF(MONTH(AI82)&lt;&gt;MONTH(AI82-(WEEKDAY(AI82,1)-(AP89-1))-IF((WEEKDAY(AI82,1)-(AP89-1))&lt;=0,7,0)+(ROW(AM90)-ROW(AI85))*7+(COLUMN(AM90)-COLUMN(AI85)+1)),"",AI82-(WEEKDAY(AI82,1)-(AP89-1))-IF((WEEKDAY(AI82,1)-(AP89-1))&lt;=0,7,0)+(ROW(AM90)-ROW(AI85))*7+(COLUMN(AM90)-COLUMN(AI85)+1))</f>
        <v/>
      </c>
      <c r="AN90" s="430" t="str">
        <f>IF(MONTH(AI82)&lt;&gt;MONTH(AI82-(WEEKDAY(AI82,1)-(AP89-1))-IF((WEEKDAY(AI82,1)-(AP89-1))&lt;=0,7,0)+(ROW(AN90)-ROW(AI85))*7+(COLUMN(AN90)-COLUMN(AI85)+1)),"",AI82-(WEEKDAY(AI82,1)-(AP89-1))-IF((WEEKDAY(AI82,1)-(AP89-1))&lt;=0,7,0)+(ROW(AN90)-ROW(AI85))*7+(COLUMN(AN90)-COLUMN(AI85)+1))</f>
        <v/>
      </c>
      <c r="AO90" s="430" t="str">
        <f>IF(MONTH(AI82)&lt;&gt;MONTH(AI82-(WEEKDAY(AI82,1)-(AP89-1))-IF((WEEKDAY(AI82,1)-(AP89-1))&lt;=0,7,0)+(ROW(AO90)-ROW(AI85))*7+(COLUMN(AO90)-COLUMN(AI85)+1)),"",AI82-(WEEKDAY(AI82,1)-(AP89-1))-IF((WEEKDAY(AI82,1)-(AP89-1))&lt;=0,7,0)+(ROW(AO90)-ROW(AI85))*7+(COLUMN(AO90)-COLUMN(AI85)+1))</f>
        <v/>
      </c>
      <c r="AP90" s="485" t="s">
        <v>695</v>
      </c>
      <c r="AQ90" s="386"/>
      <c r="AR90" s="386"/>
      <c r="AS90" s="386"/>
      <c r="AT90" s="386"/>
      <c r="AU90" s="386"/>
      <c r="AV90" s="386"/>
      <c r="AW90" s="386"/>
      <c r="AX90" s="386"/>
    </row>
    <row r="91" spans="1:52" ht="13.5" customHeight="1" x14ac:dyDescent="0.25">
      <c r="B91" s="1434" t="s">
        <v>696</v>
      </c>
      <c r="C91" s="1609">
        <f>SUM(D84:D90)</f>
        <v>0</v>
      </c>
      <c r="D91" s="1610"/>
      <c r="E91" s="1611">
        <f>SUM(F84:F90)</f>
        <v>0</v>
      </c>
      <c r="F91" s="1610"/>
      <c r="G91" s="1611">
        <f>SUM(H84:H90)</f>
        <v>0</v>
      </c>
      <c r="H91" s="1610"/>
      <c r="I91" s="1611">
        <f>SUM(J84:J90)</f>
        <v>0</v>
      </c>
      <c r="J91" s="1610"/>
      <c r="K91" s="1611">
        <f>SUM(L84:L90)</f>
        <v>0</v>
      </c>
      <c r="L91" s="1610"/>
      <c r="M91" s="1611">
        <f>SUM(N84:N85)</f>
        <v>0</v>
      </c>
      <c r="N91" s="1610"/>
      <c r="O91" s="1611">
        <f>SUM(C91:N91)</f>
        <v>0</v>
      </c>
      <c r="P91" s="1610"/>
      <c r="Q91" s="1435"/>
      <c r="R91" s="1436" t="s">
        <v>696</v>
      </c>
      <c r="S91" s="1609">
        <f>SUM(T84:T90)</f>
        <v>0</v>
      </c>
      <c r="T91" s="1610"/>
      <c r="U91" s="1611">
        <f>SUM(V84:V90)</f>
        <v>0</v>
      </c>
      <c r="V91" s="1610"/>
      <c r="W91" s="1611">
        <f>SUM(X84:X90)</f>
        <v>0</v>
      </c>
      <c r="X91" s="1610"/>
      <c r="Y91" s="1611">
        <f>SUM(Z84:Z90)</f>
        <v>0</v>
      </c>
      <c r="Z91" s="1610"/>
      <c r="AA91" s="1611">
        <f>SUM(AB84:AB90)</f>
        <v>0</v>
      </c>
      <c r="AB91" s="1610"/>
      <c r="AC91" s="1611">
        <f>SUM(AD84:AD85)</f>
        <v>0</v>
      </c>
      <c r="AD91" s="1610"/>
      <c r="AE91" s="1611">
        <f>SUM(S91:AD91)</f>
        <v>0</v>
      </c>
      <c r="AF91" s="1617"/>
      <c r="AG91" s="386"/>
      <c r="AH91" s="386"/>
      <c r="AI91" s="483" t="s">
        <v>690</v>
      </c>
      <c r="AJ91" s="445"/>
      <c r="AK91" s="445"/>
      <c r="AL91" s="445"/>
      <c r="AM91" s="445"/>
      <c r="AN91" s="445"/>
      <c r="AO91" s="445"/>
      <c r="AP91" s="480"/>
      <c r="AQ91" s="386"/>
      <c r="AR91" s="386"/>
      <c r="AS91" s="386"/>
      <c r="AT91" s="386"/>
      <c r="AU91" s="386"/>
      <c r="AV91" s="386"/>
      <c r="AW91" s="386"/>
      <c r="AX91" s="386"/>
    </row>
    <row r="92" spans="1:52" s="377" customFormat="1" ht="10.5" customHeight="1" x14ac:dyDescent="0.25">
      <c r="A92" s="357"/>
      <c r="B92" s="424"/>
      <c r="C92" s="424"/>
      <c r="D92" s="424"/>
      <c r="E92" s="424"/>
      <c r="F92" s="424"/>
      <c r="G92" s="424"/>
      <c r="H92" s="424"/>
      <c r="I92" s="424"/>
      <c r="J92" s="424"/>
      <c r="K92" s="424"/>
      <c r="L92" s="424"/>
      <c r="M92" s="424"/>
      <c r="N92" s="424"/>
      <c r="O92" s="424"/>
      <c r="P92" s="424"/>
      <c r="Q92" s="424"/>
      <c r="R92" s="723"/>
      <c r="S92" s="723"/>
      <c r="T92" s="723"/>
      <c r="U92" s="723"/>
      <c r="V92" s="723"/>
      <c r="W92" s="723"/>
      <c r="X92" s="723"/>
      <c r="Y92" s="723"/>
      <c r="Z92" s="723"/>
      <c r="AA92" s="723"/>
      <c r="AB92" s="723"/>
      <c r="AC92" s="723"/>
      <c r="AD92" s="723"/>
      <c r="AE92" s="723"/>
      <c r="AF92" s="723"/>
      <c r="AG92" s="378"/>
      <c r="AH92" s="389"/>
      <c r="AI92" s="479"/>
      <c r="AJ92" s="479"/>
      <c r="AK92" s="479"/>
      <c r="AL92" s="479"/>
      <c r="AM92" s="479"/>
      <c r="AN92" s="479"/>
      <c r="AO92" s="479"/>
      <c r="AP92" s="480"/>
      <c r="AQ92" s="386"/>
      <c r="AR92" s="386"/>
      <c r="AS92" s="386"/>
      <c r="AT92" s="386"/>
      <c r="AU92" s="386"/>
      <c r="AV92" s="386"/>
      <c r="AW92" s="386"/>
      <c r="AX92" s="386"/>
      <c r="AZ92" s="394"/>
    </row>
    <row r="93" spans="1:52" s="357" customFormat="1" ht="15" customHeight="1" x14ac:dyDescent="0.25">
      <c r="A93" s="13"/>
      <c r="B93" s="13"/>
      <c r="C93" s="13"/>
      <c r="D93" s="13"/>
      <c r="E93" s="13"/>
      <c r="F93" s="13"/>
      <c r="G93" s="13"/>
      <c r="H93" s="13"/>
      <c r="I93" s="13"/>
      <c r="J93" s="13"/>
      <c r="K93" s="13"/>
      <c r="L93" s="13"/>
      <c r="M93" s="13"/>
      <c r="N93" s="13"/>
      <c r="O93" s="13"/>
      <c r="P93" s="13"/>
      <c r="Q93" s="13"/>
      <c r="R93" s="13"/>
      <c r="S93" s="13"/>
      <c r="T93" s="470"/>
      <c r="U93" s="470"/>
      <c r="V93" s="470"/>
      <c r="W93" s="470"/>
      <c r="X93" s="470"/>
      <c r="Y93" s="470"/>
      <c r="Z93" s="470"/>
      <c r="AA93" s="470"/>
      <c r="AB93" s="470"/>
      <c r="AC93" s="470"/>
      <c r="AD93" s="470"/>
      <c r="AE93" s="470"/>
      <c r="AF93" s="470"/>
      <c r="AG93" s="389"/>
      <c r="AH93" s="389"/>
      <c r="AI93" s="477"/>
      <c r="AJ93" s="477"/>
      <c r="AK93" s="477"/>
      <c r="AL93" s="477"/>
      <c r="AM93" s="477"/>
      <c r="AN93" s="477"/>
      <c r="AO93" s="477"/>
      <c r="AP93" s="480"/>
      <c r="AQ93" s="386"/>
      <c r="AR93" s="386"/>
      <c r="AS93" s="386"/>
      <c r="AT93" s="386"/>
      <c r="AU93" s="386"/>
      <c r="AV93" s="386"/>
      <c r="AW93" s="386"/>
      <c r="AX93" s="386"/>
      <c r="AZ93" s="394"/>
    </row>
    <row r="94" spans="1:52" s="357" customFormat="1" ht="15" customHeight="1" x14ac:dyDescent="0.25">
      <c r="A94" s="13"/>
      <c r="B94" s="18"/>
      <c r="C94" s="616" t="s">
        <v>801</v>
      </c>
      <c r="D94" s="18"/>
      <c r="E94" s="18"/>
      <c r="F94" s="18"/>
      <c r="G94" s="18"/>
      <c r="H94" s="18"/>
      <c r="I94" s="18"/>
      <c r="J94" s="18"/>
      <c r="K94" s="18"/>
      <c r="L94" s="18"/>
      <c r="M94" s="18"/>
      <c r="N94" s="18"/>
      <c r="O94" s="18"/>
      <c r="P94" s="18"/>
      <c r="Q94" s="18"/>
      <c r="R94" s="18"/>
      <c r="S94" s="13"/>
      <c r="T94" s="470"/>
      <c r="U94" s="470"/>
      <c r="V94" s="470"/>
      <c r="W94" s="470"/>
      <c r="X94" s="470"/>
      <c r="Y94" s="470"/>
      <c r="Z94" s="470"/>
      <c r="AA94" s="470"/>
      <c r="AB94" s="470"/>
      <c r="AC94" s="470"/>
      <c r="AD94" s="470"/>
      <c r="AE94" s="470"/>
      <c r="AF94" s="470"/>
      <c r="AG94" s="389"/>
      <c r="AH94" s="389"/>
      <c r="AI94" s="477"/>
      <c r="AJ94" s="477"/>
      <c r="AK94" s="477"/>
      <c r="AL94" s="477"/>
      <c r="AM94" s="477"/>
      <c r="AN94" s="477"/>
      <c r="AO94" s="477"/>
      <c r="AP94" s="480"/>
      <c r="AQ94" s="386"/>
      <c r="AR94" s="386"/>
      <c r="AS94" s="386"/>
      <c r="AT94" s="386"/>
      <c r="AU94" s="386"/>
      <c r="AV94" s="386"/>
      <c r="AW94" s="386"/>
      <c r="AX94" s="386"/>
      <c r="AZ94" s="394"/>
    </row>
    <row r="95" spans="1:52" s="357" customFormat="1" ht="15" customHeight="1" x14ac:dyDescent="0.25">
      <c r="A95" s="13"/>
      <c r="B95" s="18"/>
      <c r="C95" s="616"/>
      <c r="D95" s="18"/>
      <c r="E95" s="18"/>
      <c r="F95" s="18"/>
      <c r="G95" s="18"/>
      <c r="H95" s="18"/>
      <c r="I95" s="18"/>
      <c r="J95" s="18"/>
      <c r="K95" s="18"/>
      <c r="L95" s="18"/>
      <c r="M95" s="18"/>
      <c r="N95" s="18"/>
      <c r="O95" s="18"/>
      <c r="P95" s="18"/>
      <c r="Q95" s="18"/>
      <c r="R95" s="18"/>
      <c r="S95" s="13"/>
      <c r="T95" s="470"/>
      <c r="U95" s="470"/>
      <c r="V95" s="470"/>
      <c r="W95" s="470"/>
      <c r="X95" s="470"/>
      <c r="Y95" s="470"/>
      <c r="Z95" s="470"/>
      <c r="AA95" s="470"/>
      <c r="AB95" s="470"/>
      <c r="AC95" s="470"/>
      <c r="AD95" s="470"/>
      <c r="AE95" s="470"/>
      <c r="AF95" s="470"/>
      <c r="AG95" s="389"/>
      <c r="AH95" s="389"/>
      <c r="AI95" s="477"/>
      <c r="AJ95" s="477"/>
      <c r="AK95" s="477"/>
      <c r="AL95" s="477"/>
      <c r="AM95" s="477"/>
      <c r="AN95" s="477"/>
      <c r="AO95" s="477"/>
      <c r="AP95" s="480"/>
      <c r="AQ95" s="386"/>
      <c r="AR95" s="386"/>
      <c r="AS95" s="386"/>
      <c r="AT95" s="386"/>
      <c r="AU95" s="386" t="s">
        <v>1070</v>
      </c>
      <c r="AV95" s="386"/>
      <c r="AW95" s="386"/>
      <c r="AX95" s="386"/>
      <c r="AZ95" s="394"/>
    </row>
    <row r="96" spans="1:52" s="357" customFormat="1" ht="15" customHeight="1" x14ac:dyDescent="0.25">
      <c r="A96" s="13"/>
      <c r="B96" s="1605">
        <v>2020</v>
      </c>
      <c r="C96" s="1605"/>
      <c r="D96" s="623" t="s">
        <v>769</v>
      </c>
      <c r="E96" s="18"/>
      <c r="F96" s="18"/>
      <c r="G96" s="18"/>
      <c r="H96" s="18"/>
      <c r="I96" s="18"/>
      <c r="J96" s="18"/>
      <c r="K96" s="18"/>
      <c r="L96" s="18"/>
      <c r="M96" s="18"/>
      <c r="N96" s="18"/>
      <c r="O96" s="18"/>
      <c r="P96" s="18"/>
      <c r="Q96" s="18"/>
      <c r="R96" s="18"/>
      <c r="S96" s="13"/>
      <c r="T96" s="470"/>
      <c r="U96" s="470"/>
      <c r="V96" s="470"/>
      <c r="W96" s="470"/>
      <c r="X96" s="470"/>
      <c r="Y96" s="470"/>
      <c r="Z96" s="470"/>
      <c r="AA96" s="470"/>
      <c r="AB96" s="470"/>
      <c r="AC96" s="470"/>
      <c r="AD96" s="470"/>
      <c r="AE96" s="470"/>
      <c r="AF96" s="470"/>
      <c r="AG96" s="389"/>
      <c r="AH96" s="389"/>
      <c r="AI96" s="477"/>
      <c r="AJ96" s="477"/>
      <c r="AK96" s="477"/>
      <c r="AL96" s="477"/>
      <c r="AM96" s="477"/>
      <c r="AN96" s="477"/>
      <c r="AO96" s="477"/>
      <c r="AP96" s="480"/>
      <c r="AQ96" s="386"/>
      <c r="AR96" s="386"/>
      <c r="AS96" s="386"/>
      <c r="AT96" s="386"/>
      <c r="AU96" s="1272" t="s">
        <v>692</v>
      </c>
      <c r="AV96" s="1298">
        <f>Année_Calendaire</f>
        <v>2020</v>
      </c>
      <c r="AW96" s="386"/>
      <c r="AX96" s="386"/>
      <c r="AZ96" s="394"/>
    </row>
    <row r="97" spans="1:52" s="357" customFormat="1" ht="15" customHeight="1" thickBot="1" x14ac:dyDescent="0.3">
      <c r="A97" s="13"/>
      <c r="B97" s="18"/>
      <c r="C97" s="616"/>
      <c r="D97" s="18"/>
      <c r="E97" s="18"/>
      <c r="F97" s="18"/>
      <c r="G97" s="18"/>
      <c r="H97" s="18"/>
      <c r="I97" s="18"/>
      <c r="J97" s="18"/>
      <c r="K97" s="18"/>
      <c r="L97" s="18"/>
      <c r="M97" s="18"/>
      <c r="N97" s="18"/>
      <c r="O97" s="18"/>
      <c r="P97" s="18"/>
      <c r="Q97" s="18"/>
      <c r="R97" s="18"/>
      <c r="S97" s="13"/>
      <c r="T97" s="470"/>
      <c r="U97" s="470"/>
      <c r="V97" s="470"/>
      <c r="W97" s="470"/>
      <c r="X97" s="470"/>
      <c r="Y97" s="470"/>
      <c r="Z97" s="470"/>
      <c r="AA97" s="470"/>
      <c r="AB97" s="470"/>
      <c r="AC97" s="470"/>
      <c r="AD97" s="470"/>
      <c r="AE97" s="470"/>
      <c r="AF97" s="470"/>
      <c r="AG97" s="389"/>
      <c r="AH97" s="389"/>
      <c r="AI97" s="477"/>
      <c r="AJ97" s="477"/>
      <c r="AK97" s="477"/>
      <c r="AL97" s="477"/>
      <c r="AM97" s="477"/>
      <c r="AN97" s="477"/>
      <c r="AO97" s="477"/>
      <c r="AP97" s="480"/>
      <c r="AQ97" s="386"/>
      <c r="AR97" s="386"/>
      <c r="AS97" s="386"/>
      <c r="AT97" s="386"/>
      <c r="AU97" s="1276" t="s">
        <v>1061</v>
      </c>
      <c r="AV97" s="1277">
        <f>DATE(AV96-1,12,25)</f>
        <v>43824</v>
      </c>
      <c r="AW97" s="386"/>
      <c r="AX97" s="386"/>
      <c r="AZ97" s="394"/>
    </row>
    <row r="98" spans="1:52" s="357" customFormat="1" ht="15" customHeight="1" thickTop="1" thickBot="1" x14ac:dyDescent="0.3">
      <c r="A98" s="13"/>
      <c r="B98" s="1606" t="s">
        <v>688</v>
      </c>
      <c r="C98" s="1607"/>
      <c r="D98" s="1607"/>
      <c r="E98" s="1607"/>
      <c r="F98" s="1607"/>
      <c r="G98" s="1608"/>
      <c r="H98" s="623" t="s">
        <v>770</v>
      </c>
      <c r="I98" s="18"/>
      <c r="J98" s="18"/>
      <c r="K98" s="18"/>
      <c r="L98" s="18"/>
      <c r="M98" s="18"/>
      <c r="N98" s="18"/>
      <c r="O98" s="18"/>
      <c r="P98" s="18"/>
      <c r="Q98" s="18"/>
      <c r="R98" s="18"/>
      <c r="S98" s="13"/>
      <c r="T98" s="470"/>
      <c r="U98" s="470"/>
      <c r="V98" s="470"/>
      <c r="W98" s="470"/>
      <c r="X98" s="470"/>
      <c r="Y98" s="470"/>
      <c r="Z98" s="470"/>
      <c r="AA98" s="470"/>
      <c r="AB98" s="470"/>
      <c r="AC98" s="470"/>
      <c r="AD98" s="470"/>
      <c r="AE98" s="470"/>
      <c r="AF98" s="470"/>
      <c r="AG98" s="389"/>
      <c r="AH98" s="389"/>
      <c r="AI98" s="477"/>
      <c r="AJ98" s="477"/>
      <c r="AK98" s="477"/>
      <c r="AL98" s="477"/>
      <c r="AM98" s="477"/>
      <c r="AN98" s="477"/>
      <c r="AO98" s="477"/>
      <c r="AP98" s="480"/>
      <c r="AQ98" s="386"/>
      <c r="AR98" s="386"/>
      <c r="AS98" s="386"/>
      <c r="AT98" s="386"/>
      <c r="AU98" s="1278" t="s">
        <v>1014</v>
      </c>
      <c r="AV98" s="1279">
        <f>DATE(AV96,1,1)</f>
        <v>43831</v>
      </c>
      <c r="AW98" s="386"/>
      <c r="AX98" s="386"/>
      <c r="AZ98" s="394"/>
    </row>
    <row r="99" spans="1:52" s="357" customFormat="1" ht="15" customHeight="1" thickTop="1" x14ac:dyDescent="0.25">
      <c r="A99" s="13"/>
      <c r="B99" s="18"/>
      <c r="C99" s="616"/>
      <c r="D99" s="18"/>
      <c r="E99" s="18"/>
      <c r="F99" s="18"/>
      <c r="G99" s="18"/>
      <c r="H99" s="18"/>
      <c r="I99" s="18"/>
      <c r="J99" s="18"/>
      <c r="K99" s="18"/>
      <c r="L99" s="18"/>
      <c r="M99" s="18"/>
      <c r="N99" s="18"/>
      <c r="O99" s="18"/>
      <c r="P99" s="18"/>
      <c r="Q99" s="18"/>
      <c r="R99" s="18"/>
      <c r="S99" s="13"/>
      <c r="T99" s="470"/>
      <c r="U99" s="470"/>
      <c r="V99" s="470"/>
      <c r="W99" s="470"/>
      <c r="X99" s="470"/>
      <c r="Y99" s="470"/>
      <c r="Z99" s="470"/>
      <c r="AA99" s="470"/>
      <c r="AB99" s="470"/>
      <c r="AC99" s="470"/>
      <c r="AD99" s="470"/>
      <c r="AE99" s="470"/>
      <c r="AF99" s="470"/>
      <c r="AG99" s="389"/>
      <c r="AH99" s="389"/>
      <c r="AI99" s="477"/>
      <c r="AJ99" s="477"/>
      <c r="AK99" s="477"/>
      <c r="AL99" s="477"/>
      <c r="AM99" s="477"/>
      <c r="AN99" s="477"/>
      <c r="AO99" s="477"/>
      <c r="AP99" s="480"/>
      <c r="AQ99" s="386"/>
      <c r="AR99" s="386"/>
      <c r="AS99" s="386"/>
      <c r="AT99" s="386"/>
      <c r="AU99" s="1278" t="s">
        <v>725</v>
      </c>
      <c r="AV99" s="1279">
        <f>DATE(AV96,3,29.56+0.979*MOD(204-11*MOD(AV96,19),30)- WEEKDAY(DATE(AV96,3,28.56+0.979*MOD(204-11*MOD(AV96,19),30))))+1</f>
        <v>43934</v>
      </c>
      <c r="AW99" s="386"/>
      <c r="AX99" s="386"/>
      <c r="AZ99" s="394"/>
    </row>
    <row r="100" spans="1:52" s="357" customFormat="1" ht="15" customHeight="1" x14ac:dyDescent="0.3">
      <c r="A100" s="13"/>
      <c r="B100" s="715" t="s">
        <v>1057</v>
      </c>
      <c r="C100" s="715" t="s">
        <v>872</v>
      </c>
      <c r="D100" s="477"/>
      <c r="E100" s="477"/>
      <c r="F100" s="477"/>
      <c r="G100" s="18"/>
      <c r="H100" s="18"/>
      <c r="I100" s="18"/>
      <c r="J100" s="18"/>
      <c r="K100" s="18"/>
      <c r="L100" s="18"/>
      <c r="M100" s="18"/>
      <c r="N100" s="18"/>
      <c r="O100" s="18"/>
      <c r="P100" s="18"/>
      <c r="Q100" s="18"/>
      <c r="R100" s="18"/>
      <c r="S100" s="13"/>
      <c r="T100" s="470"/>
      <c r="U100" s="470"/>
      <c r="V100" s="470"/>
      <c r="W100" s="470"/>
      <c r="X100" s="470"/>
      <c r="Y100" s="470"/>
      <c r="Z100" s="470"/>
      <c r="AA100" s="470"/>
      <c r="AB100" s="470"/>
      <c r="AC100" s="470"/>
      <c r="AD100" s="470"/>
      <c r="AE100" s="470"/>
      <c r="AF100" s="470"/>
      <c r="AG100" s="389"/>
      <c r="AH100" s="389"/>
      <c r="AI100" s="477"/>
      <c r="AJ100" s="477"/>
      <c r="AK100" s="477"/>
      <c r="AL100" s="477"/>
      <c r="AM100" s="477"/>
      <c r="AN100" s="477"/>
      <c r="AO100" s="477"/>
      <c r="AP100" s="480"/>
      <c r="AQ100" s="386"/>
      <c r="AR100" s="386"/>
      <c r="AS100" s="386"/>
      <c r="AT100" s="386"/>
      <c r="AU100" s="1278" t="s">
        <v>1017</v>
      </c>
      <c r="AV100" s="1279">
        <f>DATE(AV96,5,1)</f>
        <v>43952</v>
      </c>
      <c r="AW100" s="386"/>
      <c r="AX100" s="386"/>
      <c r="AZ100" s="394"/>
    </row>
    <row r="101" spans="1:52" s="357" customFormat="1" ht="15" customHeight="1" x14ac:dyDescent="0.25">
      <c r="A101" s="13"/>
      <c r="B101" s="18"/>
      <c r="C101" s="394"/>
      <c r="D101" s="477"/>
      <c r="E101" s="477"/>
      <c r="F101" s="477"/>
      <c r="G101" s="18"/>
      <c r="H101" s="18"/>
      <c r="I101" s="18"/>
      <c r="J101" s="18"/>
      <c r="K101" s="18"/>
      <c r="L101" s="18"/>
      <c r="M101" s="18"/>
      <c r="N101" s="18"/>
      <c r="O101" s="18"/>
      <c r="P101" s="18"/>
      <c r="Q101" s="18"/>
      <c r="R101" s="18"/>
      <c r="S101" s="13"/>
      <c r="T101" s="470"/>
      <c r="U101" s="470"/>
      <c r="V101" s="470"/>
      <c r="W101" s="470"/>
      <c r="X101" s="470"/>
      <c r="Y101" s="470"/>
      <c r="Z101" s="470"/>
      <c r="AA101" s="470"/>
      <c r="AB101" s="470"/>
      <c r="AC101" s="470"/>
      <c r="AD101" s="470"/>
      <c r="AE101" s="470"/>
      <c r="AF101" s="470"/>
      <c r="AG101" s="389"/>
      <c r="AH101" s="389"/>
      <c r="AI101" s="477"/>
      <c r="AJ101" s="477"/>
      <c r="AK101" s="477"/>
      <c r="AL101" s="477"/>
      <c r="AM101" s="477"/>
      <c r="AN101" s="477"/>
      <c r="AO101" s="477"/>
      <c r="AP101" s="480"/>
      <c r="AQ101" s="386"/>
      <c r="AR101" s="386"/>
      <c r="AS101" s="386"/>
      <c r="AT101" s="386"/>
      <c r="AU101" s="1278" t="s">
        <v>1019</v>
      </c>
      <c r="AV101" s="1279">
        <f>DATE(AV96,5,8)</f>
        <v>43959</v>
      </c>
      <c r="AW101" s="386"/>
      <c r="AX101" s="386"/>
      <c r="AZ101" s="394"/>
    </row>
    <row r="102" spans="1:52" s="357" customFormat="1" ht="15" customHeight="1" x14ac:dyDescent="0.3">
      <c r="A102" s="13"/>
      <c r="B102" s="18"/>
      <c r="C102" s="449" t="s">
        <v>37</v>
      </c>
      <c r="D102" s="478" t="s">
        <v>698</v>
      </c>
      <c r="E102" s="477"/>
      <c r="F102" s="477"/>
      <c r="G102" s="18"/>
      <c r="H102" s="18"/>
      <c r="I102" s="18"/>
      <c r="J102" s="18"/>
      <c r="K102" s="18"/>
      <c r="L102" s="18"/>
      <c r="M102" s="18"/>
      <c r="N102" s="18"/>
      <c r="O102" s="18"/>
      <c r="P102" s="18"/>
      <c r="Q102" s="18"/>
      <c r="R102" s="18"/>
      <c r="S102" s="13"/>
      <c r="T102" s="470"/>
      <c r="U102" s="470"/>
      <c r="V102" s="470"/>
      <c r="W102" s="715" t="s">
        <v>871</v>
      </c>
      <c r="X102" s="715"/>
      <c r="Y102" s="18"/>
      <c r="Z102" s="18"/>
      <c r="AA102" s="18"/>
      <c r="AB102" s="18"/>
      <c r="AC102" s="18"/>
      <c r="AD102" s="470"/>
      <c r="AE102" s="470"/>
      <c r="AF102" s="470"/>
      <c r="AG102" s="389"/>
      <c r="AH102" s="389"/>
      <c r="AI102" s="477"/>
      <c r="AJ102" s="477"/>
      <c r="AK102" s="477"/>
      <c r="AL102" s="477"/>
      <c r="AM102" s="477"/>
      <c r="AN102" s="477"/>
      <c r="AO102" s="477"/>
      <c r="AP102" s="480"/>
      <c r="AQ102" s="386"/>
      <c r="AR102" s="386"/>
      <c r="AS102" s="386"/>
      <c r="AT102" s="386"/>
      <c r="AU102" s="1278" t="s">
        <v>729</v>
      </c>
      <c r="AV102" s="1279">
        <f>AV99+38</f>
        <v>43972</v>
      </c>
      <c r="AW102" s="386"/>
      <c r="AX102" s="386"/>
      <c r="AZ102" s="394"/>
    </row>
    <row r="103" spans="1:52" s="357" customFormat="1" ht="15" customHeight="1" x14ac:dyDescent="0.25">
      <c r="A103" s="13"/>
      <c r="B103" s="18"/>
      <c r="C103" s="450" t="s">
        <v>368</v>
      </c>
      <c r="D103" s="478" t="s">
        <v>369</v>
      </c>
      <c r="E103" s="477"/>
      <c r="F103" s="477"/>
      <c r="G103" s="18"/>
      <c r="H103" s="18"/>
      <c r="I103" s="18"/>
      <c r="J103" s="18"/>
      <c r="K103" s="18"/>
      <c r="L103" s="18"/>
      <c r="M103" s="18"/>
      <c r="N103" s="18"/>
      <c r="O103" s="18"/>
      <c r="P103" s="18"/>
      <c r="Q103" s="18"/>
      <c r="R103" s="18"/>
      <c r="S103" s="13"/>
      <c r="T103" s="470"/>
      <c r="U103" s="470"/>
      <c r="V103" s="470"/>
      <c r="W103" s="1600">
        <v>0.3125</v>
      </c>
      <c r="X103" s="1600"/>
      <c r="Y103" s="1600"/>
      <c r="Z103" s="717" t="s">
        <v>704</v>
      </c>
      <c r="AA103" s="389"/>
      <c r="AB103" s="18"/>
      <c r="AC103" s="18"/>
      <c r="AD103" s="470"/>
      <c r="AE103" s="470"/>
      <c r="AF103" s="470"/>
      <c r="AG103" s="389"/>
      <c r="AH103" s="389"/>
      <c r="AI103" s="477"/>
      <c r="AJ103" s="477"/>
      <c r="AK103" s="477"/>
      <c r="AL103" s="477"/>
      <c r="AM103" s="477"/>
      <c r="AN103" s="477"/>
      <c r="AO103" s="477"/>
      <c r="AP103" s="480"/>
      <c r="AQ103" s="386"/>
      <c r="AR103" s="386"/>
      <c r="AS103" s="386"/>
      <c r="AT103" s="386"/>
      <c r="AU103" s="1280" t="s">
        <v>732</v>
      </c>
      <c r="AV103" s="1281">
        <f>AV99+49</f>
        <v>43983</v>
      </c>
      <c r="AW103" s="386"/>
      <c r="AX103" s="386"/>
      <c r="AZ103" s="394"/>
    </row>
    <row r="104" spans="1:52" s="357" customFormat="1" ht="15" customHeight="1" x14ac:dyDescent="0.25">
      <c r="A104" s="13"/>
      <c r="B104" s="18"/>
      <c r="C104" s="451" t="s">
        <v>7</v>
      </c>
      <c r="D104" s="478" t="s">
        <v>699</v>
      </c>
      <c r="E104" s="477"/>
      <c r="F104" s="477"/>
      <c r="G104" s="18"/>
      <c r="H104" s="18"/>
      <c r="I104" s="18"/>
      <c r="J104" s="18"/>
      <c r="K104" s="18"/>
      <c r="L104" s="18"/>
      <c r="M104" s="18"/>
      <c r="N104" s="18"/>
      <c r="O104" s="18"/>
      <c r="P104" s="18"/>
      <c r="Q104" s="18"/>
      <c r="R104" s="18"/>
      <c r="S104" s="13"/>
      <c r="T104" s="470"/>
      <c r="U104" s="470"/>
      <c r="V104" s="470"/>
      <c r="W104" s="1597">
        <v>0.3125</v>
      </c>
      <c r="X104" s="1597"/>
      <c r="Y104" s="1597"/>
      <c r="Z104" s="718" t="s">
        <v>873</v>
      </c>
      <c r="AA104" s="389"/>
      <c r="AB104" s="18"/>
      <c r="AC104" s="18"/>
      <c r="AD104" s="470"/>
      <c r="AE104" s="470"/>
      <c r="AF104" s="470"/>
      <c r="AG104" s="389"/>
      <c r="AH104" s="389"/>
      <c r="AI104" s="477"/>
      <c r="AJ104" s="477"/>
      <c r="AK104" s="477"/>
      <c r="AL104" s="477"/>
      <c r="AM104" s="477"/>
      <c r="AN104" s="477"/>
      <c r="AO104" s="477"/>
      <c r="AP104" s="480"/>
      <c r="AQ104" s="386"/>
      <c r="AR104" s="386"/>
      <c r="AS104" s="386"/>
      <c r="AT104" s="386"/>
      <c r="AU104" s="1282" t="s">
        <v>1022</v>
      </c>
      <c r="AV104" s="1279">
        <f>DATE(AV96,7,14)</f>
        <v>44026</v>
      </c>
      <c r="AW104" s="386"/>
      <c r="AX104" s="386"/>
      <c r="AZ104" s="394"/>
    </row>
    <row r="105" spans="1:52" s="357" customFormat="1" ht="15" customHeight="1" x14ac:dyDescent="0.25">
      <c r="A105" s="13"/>
      <c r="B105" s="18"/>
      <c r="C105" s="452" t="s">
        <v>373</v>
      </c>
      <c r="D105" s="478" t="s">
        <v>700</v>
      </c>
      <c r="E105" s="477"/>
      <c r="F105" s="477"/>
      <c r="G105" s="18"/>
      <c r="H105" s="18"/>
      <c r="I105" s="18"/>
      <c r="J105" s="18"/>
      <c r="K105" s="18"/>
      <c r="L105" s="18"/>
      <c r="M105" s="18"/>
      <c r="N105" s="18"/>
      <c r="O105" s="18"/>
      <c r="P105" s="18"/>
      <c r="Q105" s="18"/>
      <c r="R105" s="18"/>
      <c r="S105" s="13"/>
      <c r="T105" s="470"/>
      <c r="U105" s="470"/>
      <c r="V105" s="470"/>
      <c r="W105" s="470"/>
      <c r="X105" s="470"/>
      <c r="Y105" s="470"/>
      <c r="Z105" s="470"/>
      <c r="AA105" s="470"/>
      <c r="AB105" s="470"/>
      <c r="AC105" s="470"/>
      <c r="AD105" s="470"/>
      <c r="AE105" s="470"/>
      <c r="AF105" s="470"/>
      <c r="AG105" s="389"/>
      <c r="AH105" s="389"/>
      <c r="AI105" s="477"/>
      <c r="AJ105" s="477"/>
      <c r="AK105" s="477"/>
      <c r="AL105" s="477"/>
      <c r="AM105" s="477"/>
      <c r="AN105" s="477"/>
      <c r="AO105" s="477"/>
      <c r="AP105" s="480"/>
      <c r="AQ105" s="386"/>
      <c r="AR105" s="386"/>
      <c r="AS105" s="386"/>
      <c r="AT105" s="386"/>
      <c r="AU105" s="1278" t="s">
        <v>586</v>
      </c>
      <c r="AV105" s="1279">
        <f>DATE(AV96,8,15)</f>
        <v>44058</v>
      </c>
      <c r="AW105" s="386"/>
      <c r="AX105" s="386"/>
      <c r="AZ105" s="394"/>
    </row>
    <row r="106" spans="1:52" s="357" customFormat="1" ht="15" customHeight="1" x14ac:dyDescent="0.25">
      <c r="A106" s="13"/>
      <c r="B106" s="18"/>
      <c r="C106" s="453" t="s">
        <v>8</v>
      </c>
      <c r="D106" s="478" t="s">
        <v>701</v>
      </c>
      <c r="E106" s="477"/>
      <c r="F106" s="477"/>
      <c r="G106" s="18"/>
      <c r="H106" s="18"/>
      <c r="I106" s="18"/>
      <c r="J106" s="18"/>
      <c r="K106" s="18"/>
      <c r="L106" s="18"/>
      <c r="M106" s="18"/>
      <c r="N106" s="18"/>
      <c r="O106" s="18"/>
      <c r="P106" s="18"/>
      <c r="Q106" s="18"/>
      <c r="R106" s="18"/>
      <c r="S106" s="13"/>
      <c r="T106" s="470"/>
      <c r="U106" s="470"/>
      <c r="V106" s="470"/>
      <c r="W106" s="720" t="s">
        <v>705</v>
      </c>
      <c r="X106" s="470"/>
      <c r="Y106" s="470"/>
      <c r="Z106" s="470"/>
      <c r="AA106" s="470"/>
      <c r="AB106" s="470"/>
      <c r="AC106" s="470"/>
      <c r="AD106" s="470"/>
      <c r="AE106" s="470"/>
      <c r="AF106" s="470"/>
      <c r="AG106" s="389"/>
      <c r="AH106" s="389"/>
      <c r="AI106" s="477"/>
      <c r="AJ106" s="477"/>
      <c r="AK106" s="477"/>
      <c r="AL106" s="477"/>
      <c r="AM106" s="477"/>
      <c r="AN106" s="477"/>
      <c r="AO106" s="477"/>
      <c r="AP106" s="480"/>
      <c r="AQ106" s="386"/>
      <c r="AR106" s="386"/>
      <c r="AS106" s="386"/>
      <c r="AT106" s="386"/>
      <c r="AU106" s="1278" t="s">
        <v>735</v>
      </c>
      <c r="AV106" s="1279">
        <f>DATE(AV96,11,1)</f>
        <v>44136</v>
      </c>
      <c r="AW106" s="386"/>
      <c r="AX106" s="386"/>
      <c r="AZ106" s="394"/>
    </row>
    <row r="107" spans="1:52" s="357" customFormat="1" ht="15" customHeight="1" x14ac:dyDescent="0.25">
      <c r="A107" s="13"/>
      <c r="B107" s="18"/>
      <c r="C107" s="454" t="s">
        <v>356</v>
      </c>
      <c r="D107" s="478" t="s">
        <v>702</v>
      </c>
      <c r="E107" s="477"/>
      <c r="F107" s="477"/>
      <c r="G107" s="18"/>
      <c r="H107" s="18"/>
      <c r="I107" s="18"/>
      <c r="J107" s="18"/>
      <c r="K107" s="18"/>
      <c r="L107" s="18"/>
      <c r="M107" s="18"/>
      <c r="N107" s="18"/>
      <c r="O107" s="18"/>
      <c r="P107" s="18"/>
      <c r="Q107" s="18"/>
      <c r="R107" s="18"/>
      <c r="S107" s="13"/>
      <c r="T107" s="470"/>
      <c r="U107" s="470"/>
      <c r="V107" s="470"/>
      <c r="W107" s="720" t="s">
        <v>706</v>
      </c>
      <c r="X107" s="470"/>
      <c r="Y107" s="470"/>
      <c r="Z107" s="470"/>
      <c r="AA107" s="470"/>
      <c r="AB107" s="470"/>
      <c r="AC107" s="470"/>
      <c r="AD107" s="470"/>
      <c r="AE107" s="470"/>
      <c r="AF107" s="470"/>
      <c r="AG107" s="389"/>
      <c r="AH107" s="389"/>
      <c r="AI107" s="477"/>
      <c r="AJ107" s="477"/>
      <c r="AK107" s="477"/>
      <c r="AL107" s="477"/>
      <c r="AM107" s="477"/>
      <c r="AN107" s="477"/>
      <c r="AO107" s="477"/>
      <c r="AP107" s="480"/>
      <c r="AQ107" s="386"/>
      <c r="AR107" s="386"/>
      <c r="AS107" s="386"/>
      <c r="AT107" s="386"/>
      <c r="AU107" s="1278" t="s">
        <v>1024</v>
      </c>
      <c r="AV107" s="1279">
        <f>DATE(AV96,11,11)</f>
        <v>44146</v>
      </c>
      <c r="AW107" s="386"/>
      <c r="AX107" s="386"/>
      <c r="AZ107" s="394"/>
    </row>
    <row r="108" spans="1:52" s="357" customFormat="1" ht="15" customHeight="1" x14ac:dyDescent="0.25">
      <c r="A108" s="13"/>
      <c r="B108" s="18"/>
      <c r="C108" s="455" t="s">
        <v>358</v>
      </c>
      <c r="D108" s="478" t="s">
        <v>703</v>
      </c>
      <c r="E108" s="477"/>
      <c r="F108" s="477"/>
      <c r="G108" s="18"/>
      <c r="H108" s="18"/>
      <c r="I108" s="18"/>
      <c r="J108" s="18"/>
      <c r="K108" s="18"/>
      <c r="L108" s="18"/>
      <c r="M108" s="18"/>
      <c r="N108" s="18"/>
      <c r="O108" s="18"/>
      <c r="P108" s="18"/>
      <c r="Q108" s="18"/>
      <c r="R108" s="18"/>
      <c r="S108" s="13"/>
      <c r="T108" s="470"/>
      <c r="U108" s="470"/>
      <c r="V108" s="470"/>
      <c r="W108" s="720" t="s">
        <v>707</v>
      </c>
      <c r="X108" s="470"/>
      <c r="Y108" s="470"/>
      <c r="Z108" s="470"/>
      <c r="AA108" s="470"/>
      <c r="AB108" s="470"/>
      <c r="AC108" s="470"/>
      <c r="AD108" s="470"/>
      <c r="AE108" s="470"/>
      <c r="AF108" s="470"/>
      <c r="AG108" s="389"/>
      <c r="AH108" s="389"/>
      <c r="AI108" s="477"/>
      <c r="AJ108" s="477"/>
      <c r="AK108" s="477"/>
      <c r="AL108" s="477"/>
      <c r="AM108" s="477"/>
      <c r="AN108" s="477"/>
      <c r="AO108" s="477"/>
      <c r="AP108" s="480"/>
      <c r="AQ108" s="386"/>
      <c r="AR108" s="386"/>
      <c r="AS108" s="386"/>
      <c r="AT108" s="386"/>
      <c r="AU108" s="1278" t="s">
        <v>723</v>
      </c>
      <c r="AV108" s="1279">
        <f>DATE(AV96,12,25)</f>
        <v>44190</v>
      </c>
      <c r="AW108" s="386"/>
      <c r="AX108" s="386"/>
      <c r="AZ108" s="394"/>
    </row>
    <row r="109" spans="1:52" s="357" customFormat="1" ht="15" customHeight="1" x14ac:dyDescent="0.25">
      <c r="A109" s="13"/>
      <c r="B109" s="616"/>
      <c r="C109" s="616"/>
      <c r="D109" s="18"/>
      <c r="E109" s="18"/>
      <c r="F109" s="18"/>
      <c r="G109" s="18"/>
      <c r="H109" s="18"/>
      <c r="I109" s="18"/>
      <c r="J109" s="18"/>
      <c r="K109" s="18"/>
      <c r="L109" s="18"/>
      <c r="M109" s="18"/>
      <c r="N109" s="18"/>
      <c r="O109" s="18"/>
      <c r="P109" s="18"/>
      <c r="Q109" s="18"/>
      <c r="R109" s="18"/>
      <c r="S109" s="13"/>
      <c r="T109" s="470"/>
      <c r="U109" s="470"/>
      <c r="V109" s="470"/>
      <c r="W109" s="389"/>
      <c r="X109" s="470"/>
      <c r="Y109" s="470"/>
      <c r="Z109" s="470"/>
      <c r="AA109" s="470"/>
      <c r="AB109" s="470"/>
      <c r="AC109" s="470"/>
      <c r="AD109" s="470"/>
      <c r="AE109" s="470"/>
      <c r="AF109" s="470"/>
      <c r="AG109" s="389"/>
      <c r="AH109" s="389"/>
      <c r="AI109" s="477"/>
      <c r="AJ109" s="477"/>
      <c r="AK109" s="477"/>
      <c r="AL109" s="477"/>
      <c r="AM109" s="477"/>
      <c r="AN109" s="477"/>
      <c r="AO109" s="477"/>
      <c r="AP109" s="480"/>
      <c r="AQ109" s="386"/>
      <c r="AR109" s="386"/>
      <c r="AS109" s="386"/>
      <c r="AT109" s="386"/>
      <c r="AU109" s="1276" t="s">
        <v>1025</v>
      </c>
      <c r="AV109" s="1277">
        <f>DATE(AV96+1,1,1)</f>
        <v>44197</v>
      </c>
      <c r="AW109" s="386"/>
      <c r="AX109" s="386"/>
      <c r="AZ109" s="394"/>
    </row>
    <row r="110" spans="1:52" s="357" customFormat="1" ht="15" customHeight="1" x14ac:dyDescent="0.25">
      <c r="A110" s="13"/>
      <c r="B110" s="420" t="s">
        <v>583</v>
      </c>
      <c r="C110" s="1619"/>
      <c r="D110" s="1619"/>
      <c r="E110" s="1619"/>
      <c r="F110" s="421" t="s">
        <v>584</v>
      </c>
      <c r="G110" s="1619"/>
      <c r="H110" s="1619"/>
      <c r="I110" s="1620"/>
      <c r="J110" s="623" t="s">
        <v>875</v>
      </c>
      <c r="K110" s="18"/>
      <c r="L110" s="18"/>
      <c r="M110" s="18"/>
      <c r="N110" s="18"/>
      <c r="O110" s="18"/>
      <c r="P110" s="18"/>
      <c r="Q110" s="18"/>
      <c r="R110" s="18"/>
      <c r="S110" s="13"/>
      <c r="T110" s="470"/>
      <c r="U110" s="470"/>
      <c r="V110" s="470"/>
      <c r="W110" s="470"/>
      <c r="X110" s="470"/>
      <c r="Y110" s="470"/>
      <c r="Z110" s="470"/>
      <c r="AA110" s="470"/>
      <c r="AB110" s="470"/>
      <c r="AC110" s="470"/>
      <c r="AD110" s="470"/>
      <c r="AE110" s="470"/>
      <c r="AF110" s="470"/>
      <c r="AG110" s="389"/>
      <c r="AH110" s="389"/>
      <c r="AI110" s="477"/>
      <c r="AJ110" s="477"/>
      <c r="AK110" s="477"/>
      <c r="AL110" s="477"/>
      <c r="AM110" s="477"/>
      <c r="AN110" s="477"/>
      <c r="AO110" s="477"/>
      <c r="AP110" s="480"/>
      <c r="AQ110" s="386"/>
      <c r="AR110" s="386"/>
      <c r="AS110" s="386"/>
      <c r="AT110" s="386"/>
      <c r="AU110" s="386"/>
      <c r="AV110" s="386"/>
      <c r="AW110" s="386"/>
      <c r="AX110" s="386"/>
      <c r="AZ110" s="394"/>
    </row>
    <row r="111" spans="1:52" s="357" customFormat="1" ht="15" customHeight="1" x14ac:dyDescent="0.25">
      <c r="A111" s="13"/>
      <c r="B111" s="616"/>
      <c r="C111" s="616"/>
      <c r="D111" s="18"/>
      <c r="E111" s="18"/>
      <c r="F111" s="18"/>
      <c r="G111" s="18"/>
      <c r="H111" s="18"/>
      <c r="I111" s="18"/>
      <c r="J111" s="18"/>
      <c r="K111" s="18"/>
      <c r="L111" s="18"/>
      <c r="M111" s="18"/>
      <c r="N111" s="18"/>
      <c r="O111" s="18"/>
      <c r="P111" s="18"/>
      <c r="Q111" s="18"/>
      <c r="R111" s="18"/>
      <c r="S111" s="13"/>
      <c r="T111" s="470"/>
      <c r="U111" s="470"/>
      <c r="V111" s="470"/>
      <c r="W111" s="470"/>
      <c r="X111" s="470"/>
      <c r="Y111" s="470"/>
      <c r="Z111" s="470"/>
      <c r="AA111" s="470"/>
      <c r="AB111" s="470"/>
      <c r="AC111" s="470"/>
      <c r="AD111" s="470"/>
      <c r="AE111" s="470"/>
      <c r="AF111" s="470"/>
      <c r="AG111" s="389"/>
      <c r="AH111" s="389"/>
      <c r="AI111" s="477"/>
      <c r="AJ111" s="477"/>
      <c r="AK111" s="477"/>
      <c r="AL111" s="477"/>
      <c r="AM111" s="477"/>
      <c r="AN111" s="477"/>
      <c r="AO111" s="477"/>
      <c r="AP111" s="480"/>
      <c r="AQ111" s="386"/>
      <c r="AR111" s="386"/>
      <c r="AS111" s="386"/>
      <c r="AT111" s="386"/>
      <c r="AU111" s="386"/>
      <c r="AV111" s="386"/>
      <c r="AW111" s="386"/>
      <c r="AX111" s="386"/>
      <c r="AZ111" s="394"/>
    </row>
    <row r="112" spans="1:52" s="357" customFormat="1" ht="15" customHeight="1" x14ac:dyDescent="0.25">
      <c r="A112" s="13"/>
      <c r="B112" s="724" t="s">
        <v>876</v>
      </c>
      <c r="C112" s="616"/>
      <c r="D112" s="18"/>
      <c r="E112" s="18"/>
      <c r="F112" s="18"/>
      <c r="G112" s="18"/>
      <c r="H112" s="18"/>
      <c r="I112" s="18"/>
      <c r="J112" s="18"/>
      <c r="K112" s="18"/>
      <c r="L112" s="18"/>
      <c r="M112" s="18"/>
      <c r="N112" s="18"/>
      <c r="O112" s="18"/>
      <c r="P112" s="18"/>
      <c r="Q112" s="18"/>
      <c r="R112" s="18"/>
      <c r="S112" s="13"/>
      <c r="T112" s="470"/>
      <c r="U112" s="470"/>
      <c r="V112" s="470"/>
      <c r="W112" s="470"/>
      <c r="X112" s="470"/>
      <c r="Y112" s="470"/>
      <c r="Z112" s="470"/>
      <c r="AA112" s="470"/>
      <c r="AB112" s="470"/>
      <c r="AC112" s="470"/>
      <c r="AD112" s="470"/>
      <c r="AE112" s="470"/>
      <c r="AF112" s="470"/>
      <c r="AG112" s="389"/>
      <c r="AH112" s="389"/>
      <c r="AI112" s="477"/>
      <c r="AJ112" s="477"/>
      <c r="AK112" s="477"/>
      <c r="AL112" s="477"/>
      <c r="AM112" s="477"/>
      <c r="AN112" s="477"/>
      <c r="AO112" s="477"/>
      <c r="AP112" s="480"/>
      <c r="AQ112" s="386"/>
      <c r="AR112" s="386"/>
      <c r="AS112" s="386"/>
      <c r="AT112" s="386"/>
      <c r="AU112" s="386"/>
      <c r="AV112" s="386"/>
      <c r="AW112" s="386"/>
      <c r="AX112" s="386"/>
      <c r="AZ112" s="394"/>
    </row>
    <row r="113" spans="1:52" s="357" customFormat="1" ht="15" customHeight="1" x14ac:dyDescent="0.25">
      <c r="A113" s="13"/>
      <c r="B113" s="616"/>
      <c r="C113" s="616"/>
      <c r="D113" s="18"/>
      <c r="E113" s="18"/>
      <c r="F113" s="18"/>
      <c r="G113" s="18"/>
      <c r="H113" s="18"/>
      <c r="I113" s="18"/>
      <c r="J113" s="18"/>
      <c r="K113" s="18"/>
      <c r="L113" s="18"/>
      <c r="M113" s="18"/>
      <c r="N113" s="18"/>
      <c r="O113" s="18"/>
      <c r="P113" s="18"/>
      <c r="Q113" s="18"/>
      <c r="R113" s="18"/>
      <c r="S113" s="13"/>
      <c r="T113" s="470"/>
      <c r="U113" s="470"/>
      <c r="V113" s="470"/>
      <c r="W113" s="470"/>
      <c r="X113" s="470"/>
      <c r="Y113" s="470"/>
      <c r="Z113" s="470"/>
      <c r="AA113" s="470"/>
      <c r="AB113" s="470"/>
      <c r="AC113" s="470"/>
      <c r="AD113" s="470"/>
      <c r="AE113" s="470"/>
      <c r="AF113" s="470"/>
      <c r="AG113" s="389"/>
      <c r="AH113" s="389"/>
      <c r="AI113" s="477"/>
      <c r="AJ113" s="477"/>
      <c r="AK113" s="477"/>
      <c r="AL113" s="477"/>
      <c r="AM113" s="477"/>
      <c r="AN113" s="477"/>
      <c r="AO113" s="477"/>
      <c r="AP113" s="480"/>
      <c r="AQ113" s="386"/>
      <c r="AR113" s="386"/>
      <c r="AS113" s="386"/>
      <c r="AT113" s="1489" t="s">
        <v>1069</v>
      </c>
      <c r="AU113" s="1489"/>
      <c r="AV113" s="1489"/>
      <c r="AW113" s="1489"/>
      <c r="AX113" s="1489"/>
      <c r="AY113" s="1489"/>
      <c r="AZ113" s="394"/>
    </row>
    <row r="114" spans="1:52" s="357" customFormat="1" ht="15" customHeight="1" x14ac:dyDescent="0.25">
      <c r="A114" s="13"/>
      <c r="B114" s="411" t="s">
        <v>685</v>
      </c>
      <c r="C114" s="412"/>
      <c r="D114" s="1621">
        <v>1.3541666666666667</v>
      </c>
      <c r="E114" s="1621"/>
      <c r="F114" s="1622" t="s">
        <v>686</v>
      </c>
      <c r="G114" s="1622"/>
      <c r="H114" s="1623"/>
      <c r="I114" s="18"/>
      <c r="J114" s="431" t="s">
        <v>685</v>
      </c>
      <c r="K114" s="432"/>
      <c r="L114" s="18"/>
      <c r="M114" s="18"/>
      <c r="N114" s="18"/>
      <c r="O114" s="18"/>
      <c r="P114" s="18"/>
      <c r="Q114" s="18"/>
      <c r="R114" s="456">
        <v>0</v>
      </c>
      <c r="S114" s="457" t="s">
        <v>37</v>
      </c>
      <c r="T114" s="18"/>
      <c r="U114" s="400" t="s">
        <v>368</v>
      </c>
      <c r="V114" s="401">
        <v>1</v>
      </c>
      <c r="W114" s="402"/>
      <c r="X114" s="403" t="s">
        <v>7</v>
      </c>
      <c r="Y114" s="404">
        <v>0</v>
      </c>
      <c r="Z114" s="398"/>
      <c r="AA114" s="405" t="s">
        <v>356</v>
      </c>
      <c r="AB114" s="406">
        <v>0</v>
      </c>
      <c r="AC114" s="407"/>
      <c r="AD114" s="408" t="s">
        <v>37</v>
      </c>
      <c r="AE114" s="409">
        <v>0</v>
      </c>
      <c r="AF114" s="470"/>
      <c r="AG114" s="389"/>
      <c r="AH114" s="389"/>
      <c r="AI114" s="477"/>
      <c r="AJ114" s="477"/>
      <c r="AK114" s="477"/>
      <c r="AL114" s="477"/>
      <c r="AM114" s="477"/>
      <c r="AN114" s="477"/>
      <c r="AO114" s="477"/>
      <c r="AP114" s="480"/>
      <c r="AQ114" s="386"/>
      <c r="AR114" s="386"/>
      <c r="AS114" s="386"/>
      <c r="AT114" s="1489"/>
      <c r="AU114" s="1489"/>
      <c r="AV114" s="1489"/>
      <c r="AW114" s="1489"/>
      <c r="AX114" s="1489"/>
      <c r="AY114" s="1489"/>
      <c r="AZ114" s="394"/>
    </row>
    <row r="115" spans="1:52" s="357" customFormat="1" ht="15" customHeight="1" thickBot="1" x14ac:dyDescent="0.3">
      <c r="A115" s="13"/>
      <c r="B115" s="1624">
        <v>5</v>
      </c>
      <c r="C115" s="1625"/>
      <c r="D115" s="422" t="s">
        <v>387</v>
      </c>
      <c r="E115" s="423"/>
      <c r="F115" s="1626">
        <v>0.27083333333333337</v>
      </c>
      <c r="G115" s="1626"/>
      <c r="H115" s="1627"/>
      <c r="I115" s="18"/>
      <c r="J115" s="1628">
        <v>1.0416666666666667</v>
      </c>
      <c r="K115" s="1629"/>
      <c r="L115" s="18"/>
      <c r="M115" s="18"/>
      <c r="N115" s="18"/>
      <c r="O115" s="18"/>
      <c r="P115" s="18"/>
      <c r="Q115" s="18"/>
      <c r="R115" s="458">
        <v>1</v>
      </c>
      <c r="S115" s="459" t="s">
        <v>368</v>
      </c>
      <c r="T115" s="18"/>
      <c r="U115" s="471"/>
      <c r="V115" s="472"/>
      <c r="W115" s="472"/>
      <c r="X115" s="471"/>
      <c r="Y115" s="473"/>
      <c r="Z115" s="473"/>
      <c r="AA115" s="471"/>
      <c r="AB115" s="471"/>
      <c r="AC115" s="471"/>
      <c r="AD115" s="471"/>
      <c r="AE115" s="471"/>
      <c r="AF115" s="470"/>
      <c r="AG115" s="389"/>
      <c r="AH115" s="389"/>
      <c r="AI115" s="477"/>
      <c r="AJ115" s="477"/>
      <c r="AK115" s="477"/>
      <c r="AL115" s="477"/>
      <c r="AM115" s="477"/>
      <c r="AN115" s="477"/>
      <c r="AO115" s="477"/>
      <c r="AP115" s="480"/>
      <c r="AQ115" s="386"/>
      <c r="AR115" s="386"/>
      <c r="AS115" s="386"/>
      <c r="AT115" s="1490">
        <f>Année_Calendaire</f>
        <v>2020</v>
      </c>
      <c r="AU115" s="1491"/>
      <c r="AV115" s="1492"/>
      <c r="AW115" s="563"/>
      <c r="AX115" s="1493">
        <f>AT131+1</f>
        <v>2022</v>
      </c>
      <c r="AY115" s="1494"/>
      <c r="AZ115" s="394"/>
    </row>
    <row r="116" spans="1:52" s="357" customFormat="1" ht="15" customHeight="1" x14ac:dyDescent="0.25">
      <c r="A116" s="13"/>
      <c r="B116" s="616"/>
      <c r="C116" s="616"/>
      <c r="D116" s="18"/>
      <c r="E116" s="18"/>
      <c r="F116" s="18"/>
      <c r="G116" s="18"/>
      <c r="H116" s="18"/>
      <c r="I116" s="18"/>
      <c r="J116" s="433">
        <v>4</v>
      </c>
      <c r="K116" s="434" t="s">
        <v>387</v>
      </c>
      <c r="L116" s="18"/>
      <c r="M116" s="18"/>
      <c r="N116" s="18"/>
      <c r="O116" s="18"/>
      <c r="P116" s="18"/>
      <c r="Q116" s="18"/>
      <c r="R116" s="460">
        <v>0</v>
      </c>
      <c r="S116" s="461" t="s">
        <v>7</v>
      </c>
      <c r="T116" s="18"/>
      <c r="U116" s="413" t="s">
        <v>373</v>
      </c>
      <c r="V116" s="414">
        <v>0</v>
      </c>
      <c r="W116" s="402"/>
      <c r="X116" s="415" t="s">
        <v>8</v>
      </c>
      <c r="Y116" s="416">
        <v>0</v>
      </c>
      <c r="Z116" s="417"/>
      <c r="AA116" s="418" t="s">
        <v>358</v>
      </c>
      <c r="AB116" s="419">
        <v>0</v>
      </c>
      <c r="AC116" s="470"/>
      <c r="AD116" s="470"/>
      <c r="AE116" s="470"/>
      <c r="AF116" s="470"/>
      <c r="AG116" s="389"/>
      <c r="AH116" s="389"/>
      <c r="AI116" s="477"/>
      <c r="AJ116" s="477"/>
      <c r="AK116" s="477"/>
      <c r="AL116" s="477"/>
      <c r="AM116" s="477"/>
      <c r="AN116" s="477"/>
      <c r="AO116" s="477"/>
      <c r="AP116" s="480"/>
      <c r="AQ116" s="386"/>
      <c r="AR116" s="386"/>
      <c r="AS116" s="386"/>
      <c r="AT116" s="1755">
        <f t="shared" ref="AT116:AT128" si="0">AU116</f>
        <v>43831</v>
      </c>
      <c r="AU116" s="1751">
        <f>DATE(AT115,1,1)</f>
        <v>43831</v>
      </c>
      <c r="AV116" s="1753" t="s">
        <v>721</v>
      </c>
      <c r="AW116" s="563"/>
      <c r="AX116" s="1495" t="s">
        <v>722</v>
      </c>
      <c r="AY116" s="1496"/>
      <c r="AZ116" s="394"/>
    </row>
    <row r="117" spans="1:52" s="357" customFormat="1" ht="15" customHeight="1" x14ac:dyDescent="0.25">
      <c r="A117" s="13"/>
      <c r="B117" s="616"/>
      <c r="C117" s="616"/>
      <c r="D117" s="18"/>
      <c r="E117" s="18"/>
      <c r="F117" s="18"/>
      <c r="G117" s="18"/>
      <c r="H117" s="18"/>
      <c r="I117" s="18"/>
      <c r="J117" s="438" t="s">
        <v>686</v>
      </c>
      <c r="K117" s="439"/>
      <c r="L117" s="18"/>
      <c r="M117" s="18"/>
      <c r="N117" s="18"/>
      <c r="O117" s="18"/>
      <c r="P117" s="18"/>
      <c r="Q117" s="18"/>
      <c r="R117" s="462">
        <v>0</v>
      </c>
      <c r="S117" s="463" t="s">
        <v>373</v>
      </c>
      <c r="T117" s="18"/>
      <c r="U117" s="18"/>
      <c r="V117" s="18"/>
      <c r="W117" s="18"/>
      <c r="X117" s="18"/>
      <c r="Y117" s="18"/>
      <c r="Z117" s="18"/>
      <c r="AA117" s="18"/>
      <c r="AB117" s="18"/>
      <c r="AC117" s="389"/>
      <c r="AD117" s="389"/>
      <c r="AE117" s="389"/>
      <c r="AF117" s="470"/>
      <c r="AG117" s="389"/>
      <c r="AH117" s="389"/>
      <c r="AI117" s="477"/>
      <c r="AJ117" s="477"/>
      <c r="AK117" s="477"/>
      <c r="AL117" s="477"/>
      <c r="AM117" s="477"/>
      <c r="AN117" s="477"/>
      <c r="AO117" s="477"/>
      <c r="AP117" s="480"/>
      <c r="AQ117" s="386"/>
      <c r="AR117" s="386"/>
      <c r="AS117" s="386"/>
      <c r="AT117" s="1755">
        <f t="shared" si="0"/>
        <v>43933</v>
      </c>
      <c r="AU117" s="1751">
        <f>DATE(AT115,3,29.56+0.979*MOD(204-11*MOD(AT115,19),30)-WEEKDAY(DATE(AT115,3,28.56+0.979*MOD(204-11*MOD(AT115,19),30))))</f>
        <v>43933</v>
      </c>
      <c r="AV117" s="1753" t="s">
        <v>585</v>
      </c>
      <c r="AW117" s="563"/>
      <c r="AX117" s="362" t="s">
        <v>723</v>
      </c>
      <c r="AY117" s="363">
        <f>DATE(AX115-1,12,25)</f>
        <v>44555</v>
      </c>
      <c r="AZ117" s="394"/>
    </row>
    <row r="118" spans="1:52" s="357" customFormat="1" ht="15" customHeight="1" x14ac:dyDescent="0.25">
      <c r="A118" s="13"/>
      <c r="B118" s="616"/>
      <c r="C118" s="616"/>
      <c r="D118" s="18"/>
      <c r="E118" s="18"/>
      <c r="F118" s="18"/>
      <c r="G118" s="18"/>
      <c r="H118" s="18"/>
      <c r="I118" s="18"/>
      <c r="J118" s="1630">
        <v>0.26041666666666669</v>
      </c>
      <c r="K118" s="1631"/>
      <c r="L118" s="18"/>
      <c r="M118" s="18"/>
      <c r="N118" s="18"/>
      <c r="O118" s="18"/>
      <c r="P118" s="18"/>
      <c r="Q118" s="18"/>
      <c r="R118" s="464">
        <v>0</v>
      </c>
      <c r="S118" s="465" t="s">
        <v>8</v>
      </c>
      <c r="T118" s="18"/>
      <c r="U118" s="18"/>
      <c r="V118" s="18"/>
      <c r="W118" s="18"/>
      <c r="X118" s="18"/>
      <c r="Y118" s="18"/>
      <c r="Z118" s="18"/>
      <c r="AA118" s="18"/>
      <c r="AB118" s="18"/>
      <c r="AC118" s="389"/>
      <c r="AD118" s="389"/>
      <c r="AE118" s="389"/>
      <c r="AF118" s="470"/>
      <c r="AG118" s="389"/>
      <c r="AH118" s="389"/>
      <c r="AI118" s="477"/>
      <c r="AJ118" s="477"/>
      <c r="AK118" s="477"/>
      <c r="AL118" s="477"/>
      <c r="AM118" s="477"/>
      <c r="AN118" s="477"/>
      <c r="AO118" s="477"/>
      <c r="AP118" s="480"/>
      <c r="AQ118" s="386"/>
      <c r="AR118" s="386"/>
      <c r="AS118" s="386"/>
      <c r="AT118" s="1755">
        <f t="shared" si="0"/>
        <v>43934</v>
      </c>
      <c r="AU118" s="1751">
        <f>AU117+1</f>
        <v>43934</v>
      </c>
      <c r="AV118" s="1753" t="s">
        <v>725</v>
      </c>
      <c r="AW118" s="563"/>
      <c r="AX118" s="364" t="s">
        <v>721</v>
      </c>
      <c r="AY118" s="365">
        <f>DATE(AX115,1,1)</f>
        <v>44562</v>
      </c>
      <c r="AZ118" s="394"/>
    </row>
    <row r="119" spans="1:52" s="357" customFormat="1" ht="15" customHeight="1" x14ac:dyDescent="0.25">
      <c r="A119" s="13"/>
      <c r="B119" s="616"/>
      <c r="C119" s="616"/>
      <c r="D119" s="18"/>
      <c r="E119" s="18"/>
      <c r="F119" s="18"/>
      <c r="G119" s="18"/>
      <c r="H119" s="18"/>
      <c r="I119" s="18"/>
      <c r="J119" s="18"/>
      <c r="K119" s="18"/>
      <c r="L119" s="18"/>
      <c r="M119" s="18"/>
      <c r="N119" s="18"/>
      <c r="O119" s="18"/>
      <c r="P119" s="18"/>
      <c r="Q119" s="18"/>
      <c r="R119" s="466">
        <v>0</v>
      </c>
      <c r="S119" s="467" t="s">
        <v>356</v>
      </c>
      <c r="T119" s="18"/>
      <c r="U119" s="18"/>
      <c r="V119" s="18"/>
      <c r="W119" s="18"/>
      <c r="X119" s="18"/>
      <c r="Y119" s="18"/>
      <c r="Z119" s="18"/>
      <c r="AA119" s="18"/>
      <c r="AB119" s="18"/>
      <c r="AC119" s="389"/>
      <c r="AD119" s="389"/>
      <c r="AE119" s="389"/>
      <c r="AF119" s="470"/>
      <c r="AG119" s="389"/>
      <c r="AH119" s="389"/>
      <c r="AI119" s="477"/>
      <c r="AJ119" s="477"/>
      <c r="AK119" s="477"/>
      <c r="AL119" s="477"/>
      <c r="AM119" s="477"/>
      <c r="AN119" s="477"/>
      <c r="AO119" s="477"/>
      <c r="AP119" s="480"/>
      <c r="AQ119" s="386"/>
      <c r="AR119" s="386"/>
      <c r="AS119" s="386"/>
      <c r="AT119" s="1755">
        <f t="shared" si="0"/>
        <v>43952</v>
      </c>
      <c r="AU119" s="1751">
        <f>DATE(AT115,5,1)</f>
        <v>43952</v>
      </c>
      <c r="AV119" s="1753" t="s">
        <v>726</v>
      </c>
      <c r="AW119" s="563"/>
      <c r="AX119" s="362" t="s">
        <v>585</v>
      </c>
      <c r="AY119" s="363">
        <f>ROUND(DATE(AX115,4,MOD(234-11*MOD(AX115,19),30))/7,)*7-6</f>
        <v>44668</v>
      </c>
      <c r="AZ119" s="394"/>
    </row>
    <row r="120" spans="1:52" s="357" customFormat="1" ht="15" customHeight="1" x14ac:dyDescent="0.25">
      <c r="A120" s="13"/>
      <c r="B120" s="444" t="s">
        <v>696</v>
      </c>
      <c r="C120" s="1632">
        <v>0</v>
      </c>
      <c r="D120" s="1599"/>
      <c r="E120" s="1598">
        <v>1.0416666666666667</v>
      </c>
      <c r="F120" s="1599"/>
      <c r="G120" s="1598">
        <v>0</v>
      </c>
      <c r="H120" s="1599"/>
      <c r="I120" s="1598">
        <v>0</v>
      </c>
      <c r="J120" s="1599"/>
      <c r="K120" s="1598">
        <v>0</v>
      </c>
      <c r="L120" s="1599"/>
      <c r="M120" s="1598">
        <v>0</v>
      </c>
      <c r="N120" s="1599"/>
      <c r="O120" s="1598">
        <v>1.0416666666666667</v>
      </c>
      <c r="P120" s="1599"/>
      <c r="Q120" s="18"/>
      <c r="R120" s="468">
        <v>0</v>
      </c>
      <c r="S120" s="469" t="s">
        <v>358</v>
      </c>
      <c r="T120" s="18"/>
      <c r="U120" s="18"/>
      <c r="V120" s="18"/>
      <c r="W120" s="18"/>
      <c r="X120" s="18"/>
      <c r="Y120" s="18"/>
      <c r="Z120" s="18"/>
      <c r="AA120" s="18"/>
      <c r="AB120" s="18"/>
      <c r="AC120" s="18"/>
      <c r="AD120" s="18"/>
      <c r="AE120" s="18"/>
      <c r="AF120" s="470"/>
      <c r="AG120" s="389"/>
      <c r="AH120" s="389"/>
      <c r="AI120" s="477"/>
      <c r="AJ120" s="477"/>
      <c r="AK120" s="477"/>
      <c r="AL120" s="477"/>
      <c r="AM120" s="477"/>
      <c r="AN120" s="477"/>
      <c r="AO120" s="477"/>
      <c r="AP120" s="480"/>
      <c r="AQ120" s="386"/>
      <c r="AR120" s="386"/>
      <c r="AS120" s="386"/>
      <c r="AT120" s="1755">
        <f t="shared" si="0"/>
        <v>43959</v>
      </c>
      <c r="AU120" s="1751">
        <f>DATE(AT115,5,8)</f>
        <v>43959</v>
      </c>
      <c r="AV120" s="1753" t="s">
        <v>728</v>
      </c>
      <c r="AW120" s="563"/>
      <c r="AX120" s="362" t="s">
        <v>725</v>
      </c>
      <c r="AY120" s="363">
        <f>AY119+1</f>
        <v>44669</v>
      </c>
      <c r="AZ120" s="394"/>
    </row>
    <row r="121" spans="1:52" s="357" customFormat="1" ht="15" customHeight="1" x14ac:dyDescent="0.25">
      <c r="A121" s="13"/>
      <c r="B121" s="616"/>
      <c r="C121" s="616"/>
      <c r="D121" s="18"/>
      <c r="E121" s="18"/>
      <c r="F121" s="18"/>
      <c r="G121" s="18"/>
      <c r="H121" s="18"/>
      <c r="I121" s="18"/>
      <c r="J121" s="18"/>
      <c r="K121" s="18"/>
      <c r="L121" s="18"/>
      <c r="M121" s="18"/>
      <c r="N121" s="18"/>
      <c r="O121" s="18"/>
      <c r="P121" s="18"/>
      <c r="Q121" s="18"/>
      <c r="R121" s="616"/>
      <c r="S121" s="18"/>
      <c r="T121" s="18"/>
      <c r="U121" s="18"/>
      <c r="V121" s="18"/>
      <c r="W121" s="18"/>
      <c r="X121" s="18"/>
      <c r="Y121" s="18"/>
      <c r="Z121" s="18"/>
      <c r="AA121" s="18"/>
      <c r="AB121" s="18"/>
      <c r="AC121" s="18"/>
      <c r="AD121" s="18"/>
      <c r="AE121" s="18"/>
      <c r="AF121" s="470"/>
      <c r="AG121" s="389"/>
      <c r="AH121" s="389"/>
      <c r="AI121" s="477"/>
      <c r="AJ121" s="477"/>
      <c r="AK121" s="477"/>
      <c r="AL121" s="477"/>
      <c r="AM121" s="477"/>
      <c r="AN121" s="477"/>
      <c r="AO121" s="477"/>
      <c r="AP121" s="480"/>
      <c r="AQ121" s="386"/>
      <c r="AR121" s="386"/>
      <c r="AS121" s="386"/>
      <c r="AT121" s="1755">
        <f t="shared" si="0"/>
        <v>43972</v>
      </c>
      <c r="AU121" s="1751">
        <f>AU117+39</f>
        <v>43972</v>
      </c>
      <c r="AV121" s="1753" t="s">
        <v>729</v>
      </c>
      <c r="AW121" s="563"/>
      <c r="AX121" s="362" t="s">
        <v>726</v>
      </c>
      <c r="AY121" s="363">
        <f>DATE(AX115,5,1)</f>
        <v>44682</v>
      </c>
      <c r="AZ121" s="394"/>
    </row>
    <row r="122" spans="1:52" s="357" customFormat="1" ht="15" customHeight="1" x14ac:dyDescent="0.25">
      <c r="A122" s="13"/>
      <c r="B122" s="1601">
        <v>43800</v>
      </c>
      <c r="C122" s="1602"/>
      <c r="D122" s="1602"/>
      <c r="E122" s="623" t="s">
        <v>877</v>
      </c>
      <c r="F122" s="18"/>
      <c r="G122" s="18"/>
      <c r="H122" s="18"/>
      <c r="I122" s="18"/>
      <c r="J122" s="18"/>
      <c r="K122" s="18"/>
      <c r="L122" s="18"/>
      <c r="M122" s="18"/>
      <c r="N122" s="18"/>
      <c r="O122" s="18"/>
      <c r="P122" s="18"/>
      <c r="Q122" s="18"/>
      <c r="R122" s="18"/>
      <c r="S122" s="13"/>
      <c r="T122" s="470"/>
      <c r="U122" s="470"/>
      <c r="V122" s="470"/>
      <c r="W122" s="470"/>
      <c r="X122" s="470"/>
      <c r="Y122" s="470"/>
      <c r="Z122" s="470"/>
      <c r="AA122" s="470"/>
      <c r="AB122" s="470"/>
      <c r="AC122" s="470"/>
      <c r="AD122" s="470"/>
      <c r="AE122" s="470"/>
      <c r="AF122" s="470"/>
      <c r="AG122" s="389"/>
      <c r="AH122" s="389"/>
      <c r="AI122" s="477"/>
      <c r="AJ122" s="477"/>
      <c r="AK122" s="477"/>
      <c r="AL122" s="477"/>
      <c r="AM122" s="477"/>
      <c r="AN122" s="477"/>
      <c r="AO122" s="477"/>
      <c r="AP122" s="480"/>
      <c r="AQ122" s="386"/>
      <c r="AR122" s="386"/>
      <c r="AS122" s="386"/>
      <c r="AT122" s="1755">
        <f t="shared" si="0"/>
        <v>43982</v>
      </c>
      <c r="AU122" s="1751">
        <f>AU117+49</f>
        <v>43982</v>
      </c>
      <c r="AV122" s="1753" t="s">
        <v>731</v>
      </c>
      <c r="AW122" s="563"/>
      <c r="AX122" s="362" t="s">
        <v>728</v>
      </c>
      <c r="AY122" s="363">
        <f>DATE(AX115,5,8)</f>
        <v>44689</v>
      </c>
      <c r="AZ122" s="394"/>
    </row>
    <row r="123" spans="1:52" s="357" customFormat="1" ht="15" customHeight="1" x14ac:dyDescent="0.25">
      <c r="A123" s="13"/>
      <c r="B123" s="616"/>
      <c r="C123" s="616"/>
      <c r="D123" s="18"/>
      <c r="E123" s="18"/>
      <c r="F123" s="18"/>
      <c r="G123" s="18"/>
      <c r="H123" s="18"/>
      <c r="I123" s="18"/>
      <c r="J123" s="18"/>
      <c r="K123" s="18"/>
      <c r="L123" s="18"/>
      <c r="M123" s="18"/>
      <c r="N123" s="18"/>
      <c r="O123" s="18"/>
      <c r="P123" s="18"/>
      <c r="Q123" s="18"/>
      <c r="R123" s="18"/>
      <c r="S123" s="13"/>
      <c r="T123" s="470"/>
      <c r="U123" s="470"/>
      <c r="V123" s="470"/>
      <c r="W123" s="470"/>
      <c r="X123" s="470"/>
      <c r="Y123" s="470"/>
      <c r="Z123" s="470"/>
      <c r="AA123" s="470"/>
      <c r="AB123" s="470"/>
      <c r="AC123" s="470"/>
      <c r="AD123" s="470"/>
      <c r="AE123" s="470"/>
      <c r="AF123" s="470"/>
      <c r="AG123" s="389"/>
      <c r="AH123" s="389"/>
      <c r="AI123" s="477"/>
      <c r="AJ123" s="477"/>
      <c r="AK123" s="477"/>
      <c r="AL123" s="477"/>
      <c r="AM123" s="477"/>
      <c r="AN123" s="477"/>
      <c r="AO123" s="477"/>
      <c r="AP123" s="480"/>
      <c r="AQ123" s="386"/>
      <c r="AR123" s="386"/>
      <c r="AS123" s="386"/>
      <c r="AT123" s="1755">
        <f t="shared" si="0"/>
        <v>43983</v>
      </c>
      <c r="AU123" s="1751">
        <f>AU122+1</f>
        <v>43983</v>
      </c>
      <c r="AV123" s="1753" t="s">
        <v>732</v>
      </c>
      <c r="AW123" s="563"/>
      <c r="AX123" s="362" t="s">
        <v>729</v>
      </c>
      <c r="AY123" s="363">
        <f>AY119+39</f>
        <v>44707</v>
      </c>
      <c r="AZ123" s="394"/>
    </row>
    <row r="124" spans="1:52" s="357" customFormat="1" ht="15" customHeight="1" x14ac:dyDescent="0.25">
      <c r="A124" s="13"/>
      <c r="B124" s="1603">
        <v>44199</v>
      </c>
      <c r="C124" s="1604"/>
      <c r="D124" s="1604"/>
      <c r="E124" s="623" t="s">
        <v>878</v>
      </c>
      <c r="F124" s="18"/>
      <c r="G124" s="18"/>
      <c r="H124" s="18"/>
      <c r="I124" s="18"/>
      <c r="J124" s="18"/>
      <c r="K124" s="18"/>
      <c r="L124" s="18"/>
      <c r="M124" s="18"/>
      <c r="N124" s="18"/>
      <c r="O124" s="18"/>
      <c r="P124" s="18"/>
      <c r="Q124" s="18"/>
      <c r="R124" s="18"/>
      <c r="S124" s="13"/>
      <c r="T124" s="470"/>
      <c r="U124" s="470"/>
      <c r="V124" s="470"/>
      <c r="W124" s="470"/>
      <c r="X124" s="470"/>
      <c r="Y124" s="470"/>
      <c r="Z124" s="470"/>
      <c r="AA124" s="470"/>
      <c r="AB124" s="470"/>
      <c r="AC124" s="470"/>
      <c r="AD124" s="470"/>
      <c r="AE124" s="470"/>
      <c r="AF124" s="470"/>
      <c r="AG124" s="389"/>
      <c r="AH124" s="389"/>
      <c r="AI124" s="477"/>
      <c r="AJ124" s="477"/>
      <c r="AK124" s="477"/>
      <c r="AL124" s="477"/>
      <c r="AM124" s="477"/>
      <c r="AN124" s="477"/>
      <c r="AO124" s="477"/>
      <c r="AP124" s="480"/>
      <c r="AQ124" s="386"/>
      <c r="AR124" s="386"/>
      <c r="AS124" s="386"/>
      <c r="AT124" s="1755">
        <f t="shared" si="0"/>
        <v>44026</v>
      </c>
      <c r="AU124" s="1751">
        <f>DATE(AT115,7,14)</f>
        <v>44026</v>
      </c>
      <c r="AV124" s="1753" t="s">
        <v>733</v>
      </c>
      <c r="AW124" s="563"/>
      <c r="AX124" s="362" t="s">
        <v>731</v>
      </c>
      <c r="AY124" s="363">
        <f>AY119+49</f>
        <v>44717</v>
      </c>
      <c r="AZ124" s="394"/>
    </row>
    <row r="125" spans="1:52" s="357" customFormat="1" ht="15" customHeight="1" x14ac:dyDescent="0.25">
      <c r="A125" s="13"/>
      <c r="B125" s="616"/>
      <c r="C125" s="616"/>
      <c r="D125" s="18"/>
      <c r="E125" s="18"/>
      <c r="F125" s="18"/>
      <c r="G125" s="18"/>
      <c r="H125" s="18"/>
      <c r="I125" s="18"/>
      <c r="J125" s="18"/>
      <c r="K125" s="18"/>
      <c r="L125" s="18"/>
      <c r="M125" s="18"/>
      <c r="N125" s="18"/>
      <c r="O125" s="18"/>
      <c r="P125" s="18"/>
      <c r="Q125" s="18"/>
      <c r="R125" s="18"/>
      <c r="S125" s="13"/>
      <c r="T125" s="470"/>
      <c r="U125" s="470"/>
      <c r="V125" s="470"/>
      <c r="W125" s="470"/>
      <c r="X125" s="470"/>
      <c r="Y125" s="470"/>
      <c r="Z125" s="470"/>
      <c r="AA125" s="470"/>
      <c r="AB125" s="470"/>
      <c r="AC125" s="470"/>
      <c r="AD125" s="470"/>
      <c r="AE125" s="470"/>
      <c r="AF125" s="470"/>
      <c r="AG125" s="389"/>
      <c r="AH125" s="389"/>
      <c r="AI125" s="477"/>
      <c r="AJ125" s="477"/>
      <c r="AK125" s="477"/>
      <c r="AL125" s="477"/>
      <c r="AM125" s="477"/>
      <c r="AN125" s="477"/>
      <c r="AO125" s="477"/>
      <c r="AP125" s="480"/>
      <c r="AQ125" s="386"/>
      <c r="AR125" s="386"/>
      <c r="AS125" s="386"/>
      <c r="AT125" s="1755">
        <f t="shared" si="0"/>
        <v>44058</v>
      </c>
      <c r="AU125" s="1751">
        <f>DATE(AT115,8,15)</f>
        <v>44058</v>
      </c>
      <c r="AV125" s="1753" t="s">
        <v>586</v>
      </c>
      <c r="AW125" s="563"/>
      <c r="AX125" s="362" t="s">
        <v>732</v>
      </c>
      <c r="AY125" s="363">
        <f>AY119+50</f>
        <v>44718</v>
      </c>
      <c r="AZ125" s="394"/>
    </row>
    <row r="126" spans="1:52" s="357" customFormat="1" ht="15" customHeight="1" x14ac:dyDescent="0.25">
      <c r="A126" s="13"/>
      <c r="B126" s="1618" t="s">
        <v>874</v>
      </c>
      <c r="C126" s="1618"/>
      <c r="D126" s="1618"/>
      <c r="E126" s="1618"/>
      <c r="F126" s="1618"/>
      <c r="G126" s="1618"/>
      <c r="H126" s="1618"/>
      <c r="I126" s="1618"/>
      <c r="J126" s="1618"/>
      <c r="K126" s="18"/>
      <c r="L126" s="18"/>
      <c r="M126" s="18"/>
      <c r="N126" s="18"/>
      <c r="O126" s="18"/>
      <c r="P126" s="18"/>
      <c r="Q126" s="18"/>
      <c r="R126" s="18"/>
      <c r="S126" s="13"/>
      <c r="T126" s="470"/>
      <c r="U126" s="470"/>
      <c r="V126" s="470"/>
      <c r="W126" s="470"/>
      <c r="X126" s="470"/>
      <c r="Y126" s="470"/>
      <c r="Z126" s="470"/>
      <c r="AA126" s="470"/>
      <c r="AB126" s="470"/>
      <c r="AC126" s="470"/>
      <c r="AD126" s="470"/>
      <c r="AE126" s="470"/>
      <c r="AF126" s="470"/>
      <c r="AG126" s="389"/>
      <c r="AH126" s="389"/>
      <c r="AI126" s="477"/>
      <c r="AJ126" s="477"/>
      <c r="AK126" s="477"/>
      <c r="AL126" s="477"/>
      <c r="AM126" s="477"/>
      <c r="AN126" s="477"/>
      <c r="AO126" s="477"/>
      <c r="AP126" s="480"/>
      <c r="AQ126" s="386"/>
      <c r="AR126" s="386"/>
      <c r="AS126" s="386"/>
      <c r="AT126" s="1755">
        <f t="shared" si="0"/>
        <v>44136</v>
      </c>
      <c r="AU126" s="1751">
        <f>DATE(AT115,11,1)</f>
        <v>44136</v>
      </c>
      <c r="AV126" s="1753" t="s">
        <v>735</v>
      </c>
      <c r="AW126" s="563"/>
      <c r="AX126" s="362" t="s">
        <v>733</v>
      </c>
      <c r="AY126" s="363">
        <f>DATE(AX115,7,14)</f>
        <v>44756</v>
      </c>
      <c r="AZ126" s="394"/>
    </row>
    <row r="127" spans="1:52" s="357" customFormat="1" ht="15" customHeight="1" x14ac:dyDescent="0.25">
      <c r="A127" s="13"/>
      <c r="B127" s="616"/>
      <c r="C127" s="616"/>
      <c r="D127" s="18"/>
      <c r="E127" s="18"/>
      <c r="F127" s="18"/>
      <c r="G127" s="18"/>
      <c r="H127" s="18"/>
      <c r="I127" s="18"/>
      <c r="J127" s="18"/>
      <c r="K127" s="18"/>
      <c r="L127" s="18"/>
      <c r="M127" s="18"/>
      <c r="N127" s="18"/>
      <c r="O127" s="18"/>
      <c r="P127" s="18"/>
      <c r="Q127" s="18"/>
      <c r="R127" s="18"/>
      <c r="S127" s="13"/>
      <c r="T127" s="470"/>
      <c r="U127" s="470"/>
      <c r="V127" s="470"/>
      <c r="W127" s="470"/>
      <c r="X127" s="470"/>
      <c r="Y127" s="470"/>
      <c r="Z127" s="470"/>
      <c r="AA127" s="470"/>
      <c r="AB127" s="470"/>
      <c r="AC127" s="470"/>
      <c r="AD127" s="470"/>
      <c r="AE127" s="470"/>
      <c r="AF127" s="470"/>
      <c r="AG127" s="389"/>
      <c r="AH127" s="389"/>
      <c r="AI127" s="477"/>
      <c r="AJ127" s="477"/>
      <c r="AK127" s="477"/>
      <c r="AL127" s="477"/>
      <c r="AM127" s="477"/>
      <c r="AN127" s="477"/>
      <c r="AO127" s="477"/>
      <c r="AP127" s="480"/>
      <c r="AQ127" s="386"/>
      <c r="AR127" s="386"/>
      <c r="AS127" s="386"/>
      <c r="AT127" s="1755">
        <f t="shared" si="0"/>
        <v>44146</v>
      </c>
      <c r="AU127" s="1751">
        <f>DATE(AT115,11,11)</f>
        <v>44146</v>
      </c>
      <c r="AV127" s="1753" t="s">
        <v>587</v>
      </c>
      <c r="AW127" s="563"/>
      <c r="AX127" s="362" t="s">
        <v>586</v>
      </c>
      <c r="AY127" s="363">
        <f>DATE(AX115,8,15)</f>
        <v>44788</v>
      </c>
      <c r="AZ127" s="394"/>
    </row>
    <row r="128" spans="1:52" s="357" customFormat="1" ht="15" customHeight="1" x14ac:dyDescent="0.25">
      <c r="A128" s="13"/>
      <c r="B128" s="616"/>
      <c r="C128" s="616" t="s">
        <v>880</v>
      </c>
      <c r="D128" s="18"/>
      <c r="E128" s="18"/>
      <c r="F128" s="18"/>
      <c r="G128" s="18"/>
      <c r="H128" s="18"/>
      <c r="I128" s="18"/>
      <c r="J128" s="18"/>
      <c r="K128" s="18"/>
      <c r="L128" s="18"/>
      <c r="M128" s="18"/>
      <c r="N128" s="18"/>
      <c r="O128" s="18"/>
      <c r="P128" s="18"/>
      <c r="Q128" s="18"/>
      <c r="R128" s="18"/>
      <c r="S128" s="13"/>
      <c r="T128" s="470"/>
      <c r="U128" s="470"/>
      <c r="V128" s="470"/>
      <c r="W128" s="470"/>
      <c r="X128" s="470"/>
      <c r="Y128" s="470"/>
      <c r="Z128" s="470"/>
      <c r="AA128" s="470"/>
      <c r="AB128" s="470"/>
      <c r="AC128" s="470"/>
      <c r="AD128" s="470"/>
      <c r="AE128" s="470"/>
      <c r="AF128" s="470"/>
      <c r="AG128" s="389"/>
      <c r="AH128" s="389"/>
      <c r="AI128" s="477"/>
      <c r="AJ128" s="477"/>
      <c r="AK128" s="477"/>
      <c r="AL128" s="477"/>
      <c r="AM128" s="477"/>
      <c r="AN128" s="477"/>
      <c r="AO128" s="477"/>
      <c r="AP128" s="480"/>
      <c r="AQ128" s="386"/>
      <c r="AR128" s="386"/>
      <c r="AS128" s="386"/>
      <c r="AT128" s="1755">
        <f t="shared" si="0"/>
        <v>44190</v>
      </c>
      <c r="AU128" s="1751">
        <f>DATE(AT115,12,25)</f>
        <v>44190</v>
      </c>
      <c r="AV128" s="1753" t="s">
        <v>723</v>
      </c>
      <c r="AW128" s="563"/>
      <c r="AX128" s="362" t="s">
        <v>735</v>
      </c>
      <c r="AY128" s="363">
        <f>DATE(AX115,11,1)</f>
        <v>44866</v>
      </c>
      <c r="AZ128" s="394"/>
    </row>
    <row r="129" spans="1:51" ht="15.75" x14ac:dyDescent="0.25">
      <c r="A129" s="386"/>
      <c r="B129" s="470"/>
      <c r="C129" s="470"/>
      <c r="D129" s="470"/>
      <c r="E129" s="470"/>
      <c r="F129" s="470"/>
      <c r="G129" s="470"/>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386"/>
      <c r="AH129" s="386"/>
      <c r="AI129" s="477"/>
      <c r="AJ129" s="477"/>
      <c r="AK129" s="477"/>
      <c r="AL129" s="477"/>
      <c r="AM129" s="477"/>
      <c r="AN129" s="477"/>
      <c r="AO129" s="477"/>
      <c r="AP129" s="480"/>
      <c r="AQ129" s="386"/>
      <c r="AR129" s="386"/>
      <c r="AS129" s="386"/>
      <c r="AT129" s="1756">
        <f>AT132</f>
        <v>44197</v>
      </c>
      <c r="AU129" s="1752">
        <f>AU132</f>
        <v>44197</v>
      </c>
      <c r="AV129" s="1754" t="s">
        <v>721</v>
      </c>
      <c r="AW129" s="563"/>
      <c r="AX129" s="362" t="s">
        <v>587</v>
      </c>
      <c r="AY129" s="363">
        <f>DATE(AX115,11,11)</f>
        <v>44876</v>
      </c>
    </row>
    <row r="130" spans="1:51" ht="15.75" x14ac:dyDescent="0.25">
      <c r="A130" s="386"/>
      <c r="B130" s="470"/>
      <c r="C130" s="623" t="s">
        <v>881</v>
      </c>
      <c r="D130" s="470"/>
      <c r="E130" s="470"/>
      <c r="F130" s="470"/>
      <c r="G130" s="470"/>
      <c r="H130" s="470"/>
      <c r="I130" s="470"/>
      <c r="J130" s="470"/>
      <c r="K130" s="470"/>
      <c r="L130" s="470"/>
      <c r="M130" s="470"/>
      <c r="N130" s="470"/>
      <c r="O130" s="470"/>
      <c r="P130" s="470"/>
      <c r="Q130" s="470"/>
      <c r="R130" s="470"/>
      <c r="S130" s="470"/>
      <c r="T130" s="470"/>
      <c r="U130" s="470"/>
      <c r="V130" s="470"/>
      <c r="W130" s="470"/>
      <c r="X130" s="470"/>
      <c r="Y130" s="470"/>
      <c r="Z130" s="470"/>
      <c r="AA130" s="470"/>
      <c r="AB130" s="470"/>
      <c r="AC130" s="470"/>
      <c r="AD130" s="470"/>
      <c r="AE130" s="470"/>
      <c r="AF130" s="470"/>
      <c r="AG130" s="386"/>
      <c r="AH130" s="386"/>
      <c r="AI130" s="477"/>
      <c r="AJ130" s="477"/>
      <c r="AK130" s="477"/>
      <c r="AL130" s="477"/>
      <c r="AM130" s="477"/>
      <c r="AN130" s="477"/>
      <c r="AO130" s="477"/>
      <c r="AP130" s="480"/>
      <c r="AQ130" s="386"/>
      <c r="AR130" s="386"/>
      <c r="AS130" s="386"/>
      <c r="AT130" s="497"/>
      <c r="AU130" s="497"/>
      <c r="AV130" s="497"/>
      <c r="AW130" s="563"/>
      <c r="AX130" s="362" t="s">
        <v>723</v>
      </c>
      <c r="AY130" s="363">
        <f>DATE(AX115,12,25)</f>
        <v>44920</v>
      </c>
    </row>
    <row r="131" spans="1:51" ht="19.5" thickBot="1" x14ac:dyDescent="0.3">
      <c r="A131" s="386"/>
      <c r="B131" s="470"/>
      <c r="C131" s="470"/>
      <c r="D131" s="470"/>
      <c r="E131" s="470"/>
      <c r="F131" s="470"/>
      <c r="G131" s="470"/>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386"/>
      <c r="AH131" s="386"/>
      <c r="AI131" s="477"/>
      <c r="AJ131" s="477"/>
      <c r="AK131" s="477"/>
      <c r="AL131" s="477"/>
      <c r="AM131" s="477"/>
      <c r="AN131" s="477"/>
      <c r="AO131" s="477"/>
      <c r="AP131" s="480"/>
      <c r="AQ131" s="386"/>
      <c r="AR131" s="386"/>
      <c r="AS131" s="386"/>
      <c r="AT131" s="1490">
        <f>AT115+1</f>
        <v>2021</v>
      </c>
      <c r="AU131" s="1491"/>
      <c r="AV131" s="1492"/>
      <c r="AW131" s="563"/>
      <c r="AX131" s="369" t="s">
        <v>721</v>
      </c>
      <c r="AY131" s="370">
        <f>DATE(AX115+1,1,1)</f>
        <v>44927</v>
      </c>
    </row>
    <row r="132" spans="1:51" ht="15.75" x14ac:dyDescent="0.25">
      <c r="A132" s="386"/>
      <c r="B132" s="470"/>
      <c r="C132" s="623" t="s">
        <v>882</v>
      </c>
      <c r="D132" s="470"/>
      <c r="E132" s="470"/>
      <c r="F132" s="470"/>
      <c r="G132" s="470"/>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386"/>
      <c r="AH132" s="386"/>
      <c r="AI132" s="477"/>
      <c r="AJ132" s="477"/>
      <c r="AK132" s="477"/>
      <c r="AL132" s="477"/>
      <c r="AM132" s="477"/>
      <c r="AN132" s="477"/>
      <c r="AO132" s="477"/>
      <c r="AP132" s="480"/>
      <c r="AQ132" s="386"/>
      <c r="AR132" s="386"/>
      <c r="AS132" s="386"/>
      <c r="AT132" s="1755">
        <f>AU132</f>
        <v>44197</v>
      </c>
      <c r="AU132" s="1751">
        <f>DATE(AT115+1,1,1)</f>
        <v>44197</v>
      </c>
      <c r="AV132" s="1753" t="s">
        <v>721</v>
      </c>
      <c r="AW132" s="563"/>
      <c r="AX132" s="563"/>
      <c r="AY132" s="563"/>
    </row>
    <row r="133" spans="1:51" ht="15.75" x14ac:dyDescent="0.25">
      <c r="A133" s="386"/>
      <c r="B133" s="470"/>
      <c r="C133" s="470"/>
      <c r="D133" s="470"/>
      <c r="E133" s="470"/>
      <c r="F133" s="470"/>
      <c r="G133" s="470"/>
      <c r="H133" s="470"/>
      <c r="I133" s="470"/>
      <c r="J133" s="470"/>
      <c r="K133" s="470"/>
      <c r="L133" s="470"/>
      <c r="M133" s="470"/>
      <c r="N133" s="470"/>
      <c r="O133" s="470"/>
      <c r="P133" s="470"/>
      <c r="Q133" s="470"/>
      <c r="R133" s="470"/>
      <c r="S133" s="470"/>
      <c r="T133" s="470"/>
      <c r="U133" s="470"/>
      <c r="V133" s="470"/>
      <c r="W133" s="470"/>
      <c r="X133" s="470"/>
      <c r="Y133" s="470"/>
      <c r="Z133" s="470"/>
      <c r="AA133" s="470"/>
      <c r="AB133" s="470"/>
      <c r="AC133" s="470"/>
      <c r="AD133" s="470"/>
      <c r="AE133" s="470"/>
      <c r="AF133" s="470"/>
      <c r="AG133" s="386"/>
      <c r="AH133" s="386"/>
      <c r="AI133" s="477"/>
      <c r="AJ133" s="477"/>
      <c r="AK133" s="477"/>
      <c r="AL133" s="477"/>
      <c r="AM133" s="477"/>
      <c r="AN133" s="477"/>
      <c r="AO133" s="477"/>
      <c r="AP133" s="480"/>
      <c r="AQ133" s="386"/>
      <c r="AR133" s="386"/>
      <c r="AS133" s="386"/>
      <c r="AT133" s="1755">
        <f t="shared" ref="AT133:AT144" si="1">AU133</f>
        <v>44290</v>
      </c>
      <c r="AU133" s="1751">
        <f>DATE(AT115+1,3,29.56+0.979*MOD(204-11*MOD(AT115+1,19),30)-WEEKDAY(DATE(AT115+1,3,28.56+0.979*MOD(204-11*MOD(AT115+1,19),30))))</f>
        <v>44290</v>
      </c>
      <c r="AV133" s="1753" t="s">
        <v>585</v>
      </c>
      <c r="AW133" s="563"/>
      <c r="AX133" s="386" t="s">
        <v>1070</v>
      </c>
      <c r="AY133" s="563"/>
    </row>
    <row r="134" spans="1:51" ht="15.75" x14ac:dyDescent="0.25">
      <c r="AT134" s="1755">
        <f t="shared" si="1"/>
        <v>44291</v>
      </c>
      <c r="AU134" s="1757">
        <f>AU133+1</f>
        <v>44291</v>
      </c>
      <c r="AV134" s="1753" t="s">
        <v>725</v>
      </c>
      <c r="AW134" s="563"/>
      <c r="AX134" s="563"/>
      <c r="AY134" s="563"/>
    </row>
    <row r="135" spans="1:51" ht="15.75" x14ac:dyDescent="0.25">
      <c r="AT135" s="1755">
        <f t="shared" si="1"/>
        <v>44317</v>
      </c>
      <c r="AU135" s="1757">
        <f>DATE(AT115+1,5,1)</f>
        <v>44317</v>
      </c>
      <c r="AV135" s="1753" t="s">
        <v>726</v>
      </c>
      <c r="AW135" s="563"/>
      <c r="AX135" s="563"/>
      <c r="AY135" s="563"/>
    </row>
    <row r="136" spans="1:51" ht="15.75" x14ac:dyDescent="0.25">
      <c r="AT136" s="1755">
        <f t="shared" si="1"/>
        <v>494</v>
      </c>
      <c r="AU136" s="1751">
        <f>DATE($Y$2+1,5,8)</f>
        <v>494</v>
      </c>
      <c r="AV136" s="1753" t="s">
        <v>728</v>
      </c>
      <c r="AW136" s="563"/>
      <c r="AX136" s="563"/>
      <c r="AY136" s="563"/>
    </row>
    <row r="137" spans="1:51" ht="15.75" x14ac:dyDescent="0.25">
      <c r="AT137" s="1755">
        <f t="shared" si="1"/>
        <v>44329</v>
      </c>
      <c r="AU137" s="1751">
        <f>AU133+39</f>
        <v>44329</v>
      </c>
      <c r="AV137" s="1753" t="s">
        <v>729</v>
      </c>
      <c r="AW137" s="563"/>
      <c r="AX137" s="563"/>
      <c r="AY137" s="563"/>
    </row>
    <row r="138" spans="1:51" ht="15.75" x14ac:dyDescent="0.25">
      <c r="AT138" s="1755">
        <f t="shared" si="1"/>
        <v>44339</v>
      </c>
      <c r="AU138" s="1751">
        <f>AU133+49</f>
        <v>44339</v>
      </c>
      <c r="AV138" s="1753" t="s">
        <v>731</v>
      </c>
      <c r="AW138" s="563"/>
      <c r="AX138" s="563"/>
      <c r="AY138" s="563"/>
    </row>
    <row r="139" spans="1:51" ht="15.75" x14ac:dyDescent="0.25">
      <c r="AT139" s="1755">
        <f t="shared" si="1"/>
        <v>44340</v>
      </c>
      <c r="AU139" s="1751">
        <f>AU138+1</f>
        <v>44340</v>
      </c>
      <c r="AV139" s="1753" t="s">
        <v>732</v>
      </c>
      <c r="AW139" s="563"/>
      <c r="AX139" s="563"/>
      <c r="AY139" s="563"/>
    </row>
    <row r="140" spans="1:51" ht="15.75" x14ac:dyDescent="0.25">
      <c r="AT140" s="1755">
        <f t="shared" si="1"/>
        <v>44391</v>
      </c>
      <c r="AU140" s="1751">
        <f>DATE(AT115+1,7,14)</f>
        <v>44391</v>
      </c>
      <c r="AV140" s="1753" t="s">
        <v>733</v>
      </c>
      <c r="AW140" s="563"/>
      <c r="AX140" s="563"/>
      <c r="AY140" s="563"/>
    </row>
    <row r="141" spans="1:51" ht="15.75" x14ac:dyDescent="0.25">
      <c r="AT141" s="1755">
        <f t="shared" si="1"/>
        <v>44423</v>
      </c>
      <c r="AU141" s="1751">
        <f>DATE(AT115+1,8,15)</f>
        <v>44423</v>
      </c>
      <c r="AV141" s="1753" t="s">
        <v>586</v>
      </c>
      <c r="AW141" s="563"/>
      <c r="AX141" s="563"/>
      <c r="AY141" s="563"/>
    </row>
    <row r="142" spans="1:51" ht="15.75" x14ac:dyDescent="0.25">
      <c r="AT142" s="1755">
        <f t="shared" si="1"/>
        <v>44501</v>
      </c>
      <c r="AU142" s="1751">
        <f>DATE(AT115+1,11,1)</f>
        <v>44501</v>
      </c>
      <c r="AV142" s="1753" t="s">
        <v>735</v>
      </c>
      <c r="AW142" s="563"/>
      <c r="AX142" s="563"/>
      <c r="AY142" s="563"/>
    </row>
    <row r="143" spans="1:51" ht="15.75" x14ac:dyDescent="0.25">
      <c r="AT143" s="1755">
        <f t="shared" si="1"/>
        <v>44511</v>
      </c>
      <c r="AU143" s="1751">
        <f>DATE(AT115+1,11,11)</f>
        <v>44511</v>
      </c>
      <c r="AV143" s="1753" t="s">
        <v>587</v>
      </c>
      <c r="AW143" s="563"/>
      <c r="AX143" s="563"/>
      <c r="AY143" s="563"/>
    </row>
    <row r="144" spans="1:51" ht="15.75" x14ac:dyDescent="0.25">
      <c r="AT144" s="1755">
        <f t="shared" si="1"/>
        <v>44555</v>
      </c>
      <c r="AU144" s="1751">
        <f>DATE(AT115+1,12,25)</f>
        <v>44555</v>
      </c>
      <c r="AV144" s="1753" t="s">
        <v>723</v>
      </c>
      <c r="AW144" s="563"/>
      <c r="AX144" s="563"/>
      <c r="AY144" s="563"/>
    </row>
    <row r="145" spans="46:51" ht="15.75" x14ac:dyDescent="0.25">
      <c r="AT145" s="1756">
        <f>AU145</f>
        <v>44562</v>
      </c>
      <c r="AU145" s="1752">
        <f>DATE(AT115+2,1,1)</f>
        <v>44562</v>
      </c>
      <c r="AV145" s="1754" t="s">
        <v>721</v>
      </c>
      <c r="AW145" s="563"/>
      <c r="AX145" s="563"/>
      <c r="AY145" s="563"/>
    </row>
  </sheetData>
  <mergeCells count="192">
    <mergeCell ref="AT113:AY114"/>
    <mergeCell ref="AT115:AV115"/>
    <mergeCell ref="AX115:AY115"/>
    <mergeCell ref="AX116:AY116"/>
    <mergeCell ref="AT131:AV131"/>
    <mergeCell ref="C2:Q3"/>
    <mergeCell ref="U2:AF3"/>
    <mergeCell ref="D4:Q5"/>
    <mergeCell ref="U4:AF5"/>
    <mergeCell ref="C6:Q7"/>
    <mergeCell ref="T6:AF7"/>
    <mergeCell ref="AH5:AR6"/>
    <mergeCell ref="AD14:AF14"/>
    <mergeCell ref="B16:D16"/>
    <mergeCell ref="M16:N16"/>
    <mergeCell ref="R16:T16"/>
    <mergeCell ref="AI16:AO16"/>
    <mergeCell ref="AH3:AR4"/>
    <mergeCell ref="M21:N21"/>
    <mergeCell ref="AC21:AD21"/>
    <mergeCell ref="B12:C12"/>
    <mergeCell ref="W12:X12"/>
    <mergeCell ref="AB12:AC12"/>
    <mergeCell ref="AD12:AF12"/>
    <mergeCell ref="AI12:AQ12"/>
    <mergeCell ref="B13:C14"/>
    <mergeCell ref="L14:Q14"/>
    <mergeCell ref="S14:U14"/>
    <mergeCell ref="W14:Y14"/>
    <mergeCell ref="Z14:AA14"/>
    <mergeCell ref="AE25:AF25"/>
    <mergeCell ref="M24:N24"/>
    <mergeCell ref="AC24:AD24"/>
    <mergeCell ref="C25:D25"/>
    <mergeCell ref="E25:F25"/>
    <mergeCell ref="G25:H25"/>
    <mergeCell ref="I25:J25"/>
    <mergeCell ref="K25:L25"/>
    <mergeCell ref="M25:N25"/>
    <mergeCell ref="O25:P25"/>
    <mergeCell ref="S25:T25"/>
    <mergeCell ref="B27:D27"/>
    <mergeCell ref="R27:T27"/>
    <mergeCell ref="M32:N32"/>
    <mergeCell ref="AC32:AD32"/>
    <mergeCell ref="M35:N35"/>
    <mergeCell ref="AC35:AD35"/>
    <mergeCell ref="U25:V25"/>
    <mergeCell ref="W25:X25"/>
    <mergeCell ref="Y25:Z25"/>
    <mergeCell ref="AA25:AB25"/>
    <mergeCell ref="AC25:AD25"/>
    <mergeCell ref="AC36:AD36"/>
    <mergeCell ref="AE36:AF36"/>
    <mergeCell ref="B38:D38"/>
    <mergeCell ref="R38:T38"/>
    <mergeCell ref="M43:N43"/>
    <mergeCell ref="AC43:AD43"/>
    <mergeCell ref="O36:P36"/>
    <mergeCell ref="S36:T36"/>
    <mergeCell ref="U36:V36"/>
    <mergeCell ref="W36:X36"/>
    <mergeCell ref="Y36:Z36"/>
    <mergeCell ref="AA36:AB36"/>
    <mergeCell ref="C36:D36"/>
    <mergeCell ref="E36:F36"/>
    <mergeCell ref="G36:H36"/>
    <mergeCell ref="I36:J36"/>
    <mergeCell ref="K36:L36"/>
    <mergeCell ref="M36:N36"/>
    <mergeCell ref="AE47:AF47"/>
    <mergeCell ref="M46:N46"/>
    <mergeCell ref="AC46:AD46"/>
    <mergeCell ref="C47:D47"/>
    <mergeCell ref="E47:F47"/>
    <mergeCell ref="G47:H47"/>
    <mergeCell ref="I47:J47"/>
    <mergeCell ref="K47:L47"/>
    <mergeCell ref="M47:N47"/>
    <mergeCell ref="O47:P47"/>
    <mergeCell ref="S47:T47"/>
    <mergeCell ref="B49:D49"/>
    <mergeCell ref="R49:T49"/>
    <mergeCell ref="M54:N54"/>
    <mergeCell ref="AC54:AD54"/>
    <mergeCell ref="M57:N57"/>
    <mergeCell ref="AC57:AD57"/>
    <mergeCell ref="U47:V47"/>
    <mergeCell ref="W47:X47"/>
    <mergeCell ref="Y47:Z47"/>
    <mergeCell ref="AA47:AB47"/>
    <mergeCell ref="AC47:AD47"/>
    <mergeCell ref="AC58:AD58"/>
    <mergeCell ref="AE58:AF58"/>
    <mergeCell ref="B60:D60"/>
    <mergeCell ref="R60:T60"/>
    <mergeCell ref="M65:N65"/>
    <mergeCell ref="AC65:AD65"/>
    <mergeCell ref="O58:P58"/>
    <mergeCell ref="S58:T58"/>
    <mergeCell ref="U58:V58"/>
    <mergeCell ref="W58:X58"/>
    <mergeCell ref="Y58:Z58"/>
    <mergeCell ref="AA58:AB58"/>
    <mergeCell ref="C58:D58"/>
    <mergeCell ref="E58:F58"/>
    <mergeCell ref="G58:H58"/>
    <mergeCell ref="I58:J58"/>
    <mergeCell ref="K58:L58"/>
    <mergeCell ref="M58:N58"/>
    <mergeCell ref="M68:N68"/>
    <mergeCell ref="AC68:AD68"/>
    <mergeCell ref="C69:D69"/>
    <mergeCell ref="E69:F69"/>
    <mergeCell ref="G69:H69"/>
    <mergeCell ref="I69:J69"/>
    <mergeCell ref="K69:L69"/>
    <mergeCell ref="M69:N69"/>
    <mergeCell ref="O69:P69"/>
    <mergeCell ref="S69:T69"/>
    <mergeCell ref="B71:D71"/>
    <mergeCell ref="R71:T71"/>
    <mergeCell ref="M76:N76"/>
    <mergeCell ref="AC76:AD76"/>
    <mergeCell ref="AI77:AQ77"/>
    <mergeCell ref="M79:N79"/>
    <mergeCell ref="AC79:AD79"/>
    <mergeCell ref="U69:V69"/>
    <mergeCell ref="W69:X69"/>
    <mergeCell ref="Y69:Z69"/>
    <mergeCell ref="AA69:AB69"/>
    <mergeCell ref="AC69:AD69"/>
    <mergeCell ref="AE69:AF69"/>
    <mergeCell ref="O80:P80"/>
    <mergeCell ref="S80:T80"/>
    <mergeCell ref="U80:V80"/>
    <mergeCell ref="W80:X80"/>
    <mergeCell ref="Y80:Z80"/>
    <mergeCell ref="AA80:AB80"/>
    <mergeCell ref="C80:D80"/>
    <mergeCell ref="E80:F80"/>
    <mergeCell ref="G80:H80"/>
    <mergeCell ref="I80:J80"/>
    <mergeCell ref="K80:L80"/>
    <mergeCell ref="M80:N80"/>
    <mergeCell ref="U91:V91"/>
    <mergeCell ref="W91:X91"/>
    <mergeCell ref="Y91:Z91"/>
    <mergeCell ref="AA91:AB91"/>
    <mergeCell ref="M87:N87"/>
    <mergeCell ref="AC87:AD87"/>
    <mergeCell ref="M90:N90"/>
    <mergeCell ref="AC90:AD90"/>
    <mergeCell ref="AI82:AO82"/>
    <mergeCell ref="B126:J126"/>
    <mergeCell ref="C110:E110"/>
    <mergeCell ref="G110:I110"/>
    <mergeCell ref="D114:E114"/>
    <mergeCell ref="F114:H114"/>
    <mergeCell ref="B115:C115"/>
    <mergeCell ref="F115:H115"/>
    <mergeCell ref="J115:K115"/>
    <mergeCell ref="J118:K118"/>
    <mergeCell ref="C120:D120"/>
    <mergeCell ref="E120:F120"/>
    <mergeCell ref="G120:H120"/>
    <mergeCell ref="I120:J120"/>
    <mergeCell ref="K120:L120"/>
    <mergeCell ref="AI40:AK40"/>
    <mergeCell ref="AI41:AK41"/>
    <mergeCell ref="M120:N120"/>
    <mergeCell ref="O120:P120"/>
    <mergeCell ref="W103:Y103"/>
    <mergeCell ref="W104:Y104"/>
    <mergeCell ref="B122:D122"/>
    <mergeCell ref="B124:D124"/>
    <mergeCell ref="B96:C96"/>
    <mergeCell ref="B98:G98"/>
    <mergeCell ref="C91:D91"/>
    <mergeCell ref="E91:F91"/>
    <mergeCell ref="G91:H91"/>
    <mergeCell ref="I91:J91"/>
    <mergeCell ref="K91:L91"/>
    <mergeCell ref="M91:N91"/>
    <mergeCell ref="AC80:AD80"/>
    <mergeCell ref="AE80:AF80"/>
    <mergeCell ref="B82:D82"/>
    <mergeCell ref="R82:T82"/>
    <mergeCell ref="AC91:AD91"/>
    <mergeCell ref="AE91:AF91"/>
    <mergeCell ref="O91:P91"/>
    <mergeCell ref="S91:T91"/>
  </mergeCells>
  <conditionalFormatting sqref="AI85:AO90 AI19:AO24">
    <cfRule type="cellIs" dxfId="6" priority="28" stopIfTrue="1" operator="equal">
      <formula>""</formula>
    </cfRule>
  </conditionalFormatting>
  <conditionalFormatting sqref="AU132:AU145">
    <cfRule type="expression" dxfId="5" priority="2" stopIfTrue="1">
      <formula>WEEKDAY(AU132,2)=6</formula>
    </cfRule>
    <cfRule type="expression" dxfId="4" priority="3" stopIfTrue="1">
      <formula>WEEKDAY(AU132,2)=7</formula>
    </cfRule>
  </conditionalFormatting>
  <conditionalFormatting sqref="AU116:AU129">
    <cfRule type="expression" dxfId="3" priority="4" stopIfTrue="1">
      <formula>WEEKDAY(AU116,2)=6</formula>
    </cfRule>
    <cfRule type="expression" dxfId="2" priority="5" stopIfTrue="1">
      <formula>WEEKDAY(AU116,2)=7</formula>
    </cfRule>
  </conditionalFormatting>
  <hyperlinks>
    <hyperlink ref="AJ43" r:id="rId1" location=":~:text=La%20dur%C3%A9e%20du%20travail%20effectif,suppl%C3%A9mentaires%20susceptibles%20d'%C3%AAtre%20" xr:uid="{4479E929-034F-4E39-ACCD-D353AD391DE8}"/>
    <hyperlink ref="AJ46" r:id="rId2" xr:uid="{C0F74C88-A996-4C22-84B5-94C7BCDF50D4}"/>
  </hyperlinks>
  <printOptions horizontalCentered="1"/>
  <pageMargins left="0.39370078740157483" right="0.19685039370078741" top="0.19685039370078741" bottom="0.19685039370078741" header="0.11811023622047245" footer="0.11811023622047245"/>
  <pageSetup paperSize="9" scale="71" orientation="portrait" r:id="rId3"/>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5664F-9CAE-4EAF-852E-E55CFDC0A737}">
  <sheetPr codeName="Feuil10"/>
  <dimension ref="A2:M34"/>
  <sheetViews>
    <sheetView zoomScaleNormal="100" workbookViewId="0">
      <selection activeCell="K24" sqref="K24"/>
    </sheetView>
  </sheetViews>
  <sheetFormatPr baseColWidth="10" defaultRowHeight="15" x14ac:dyDescent="0.25"/>
  <cols>
    <col min="1" max="1" width="11" style="1269"/>
    <col min="2" max="2" width="10" style="1269" customWidth="1"/>
    <col min="3" max="6" width="9.125" style="1269" customWidth="1"/>
    <col min="7" max="7" width="12.75" style="1269" bestFit="1" customWidth="1"/>
    <col min="8" max="10" width="11" style="1269"/>
    <col min="11" max="11" width="27.5" style="1269" customWidth="1"/>
    <col min="12" max="12" width="20.125" style="1269" customWidth="1"/>
    <col min="13" max="16384" width="11" style="1269"/>
  </cols>
  <sheetData>
    <row r="2" spans="1:13" ht="23.25" x14ac:dyDescent="0.25">
      <c r="A2" s="1300">
        <v>2021</v>
      </c>
      <c r="B2" s="1299">
        <v>5</v>
      </c>
      <c r="C2" s="1301" t="s">
        <v>1006</v>
      </c>
      <c r="D2" s="1301" t="s">
        <v>1007</v>
      </c>
      <c r="E2" s="1301" t="s">
        <v>1008</v>
      </c>
      <c r="F2" s="1301" t="s">
        <v>1009</v>
      </c>
      <c r="G2" s="1301" t="s">
        <v>1010</v>
      </c>
      <c r="I2" s="1270" t="s">
        <v>1011</v>
      </c>
      <c r="J2" s="1271"/>
      <c r="K2" s="1272" t="s">
        <v>692</v>
      </c>
      <c r="L2" s="1298">
        <f>A2</f>
        <v>2021</v>
      </c>
      <c r="M2" s="1302" t="s">
        <v>1040</v>
      </c>
    </row>
    <row r="3" spans="1:13" ht="23.25" x14ac:dyDescent="0.25">
      <c r="A3" s="1273">
        <f>DATE(A2,B2,1)</f>
        <v>44317</v>
      </c>
      <c r="B3" s="1274">
        <f>DATE(A2,B2,1)</f>
        <v>44317</v>
      </c>
      <c r="C3" s="1732"/>
      <c r="D3" s="1733"/>
      <c r="E3" s="1733"/>
      <c r="F3" s="1734"/>
      <c r="G3" s="1730">
        <f>(D3-C3)+(F3-E3)</f>
        <v>0</v>
      </c>
      <c r="I3" s="1275" t="s">
        <v>50</v>
      </c>
      <c r="J3" s="1271"/>
      <c r="K3" s="1276" t="s">
        <v>1012</v>
      </c>
      <c r="L3" s="1277">
        <f>DATE(L2-1,12,25)</f>
        <v>44190</v>
      </c>
      <c r="M3" s="1303" t="s">
        <v>1039</v>
      </c>
    </row>
    <row r="4" spans="1:13" ht="23.25" x14ac:dyDescent="0.25">
      <c r="A4" s="1273">
        <f>A3+1</f>
        <v>44318</v>
      </c>
      <c r="B4" s="1274">
        <f>B3+1</f>
        <v>44318</v>
      </c>
      <c r="C4" s="1732"/>
      <c r="D4" s="1733"/>
      <c r="E4" s="1733"/>
      <c r="F4" s="1734"/>
      <c r="G4" s="1730">
        <f t="shared" ref="G4:G33" si="0">(D4-C4)+(F4-E4)</f>
        <v>0</v>
      </c>
      <c r="I4" s="1275" t="s">
        <v>1013</v>
      </c>
      <c r="J4" s="1271"/>
      <c r="K4" s="1278" t="s">
        <v>1014</v>
      </c>
      <c r="L4" s="1279">
        <f>DATE(L2,1,1)</f>
        <v>44197</v>
      </c>
      <c r="M4" s="1304" t="s">
        <v>1041</v>
      </c>
    </row>
    <row r="5" spans="1:13" ht="15.75" x14ac:dyDescent="0.25">
      <c r="A5" s="1273">
        <f t="shared" ref="A5:B20" si="1">A4+1</f>
        <v>44319</v>
      </c>
      <c r="B5" s="1274">
        <f t="shared" si="1"/>
        <v>44319</v>
      </c>
      <c r="C5" s="1732">
        <v>0.375</v>
      </c>
      <c r="D5" s="1733">
        <v>0.5</v>
      </c>
      <c r="E5" s="1733">
        <v>0.54166666666666663</v>
      </c>
      <c r="F5" s="1734">
        <v>0.70833333333333337</v>
      </c>
      <c r="G5" s="1730">
        <f t="shared" si="0"/>
        <v>0.29166666666666674</v>
      </c>
      <c r="I5" s="1275" t="s">
        <v>1015</v>
      </c>
      <c r="J5" s="1271"/>
      <c r="K5" s="1278" t="s">
        <v>725</v>
      </c>
      <c r="L5" s="1279">
        <f>DATE(L2,3,29.56+0.979*MOD(204-11*MOD(L2,19),30)- WEEKDAY(DATE(L2,3,28.56+0.979*MOD(204-11*MOD(L2,19),30))))+1</f>
        <v>44291</v>
      </c>
    </row>
    <row r="6" spans="1:13" ht="15.75" x14ac:dyDescent="0.25">
      <c r="A6" s="1273">
        <f t="shared" si="1"/>
        <v>44320</v>
      </c>
      <c r="B6" s="1274">
        <f t="shared" si="1"/>
        <v>44320</v>
      </c>
      <c r="C6" s="1732">
        <v>0.33333333333333331</v>
      </c>
      <c r="D6" s="1733">
        <v>0.52083333333333337</v>
      </c>
      <c r="E6" s="1733">
        <v>0.5625</v>
      </c>
      <c r="F6" s="1734">
        <v>0.71875</v>
      </c>
      <c r="G6" s="1730">
        <f t="shared" si="0"/>
        <v>0.34375000000000006</v>
      </c>
      <c r="I6" s="1275" t="s">
        <v>1016</v>
      </c>
      <c r="J6" s="1271"/>
      <c r="K6" s="1278" t="s">
        <v>1017</v>
      </c>
      <c r="L6" s="1279">
        <f>DATE(L2,5,1)</f>
        <v>44317</v>
      </c>
    </row>
    <row r="7" spans="1:13" ht="15.75" x14ac:dyDescent="0.25">
      <c r="A7" s="1273">
        <f t="shared" si="1"/>
        <v>44321</v>
      </c>
      <c r="B7" s="1274">
        <f t="shared" si="1"/>
        <v>44321</v>
      </c>
      <c r="C7" s="1732"/>
      <c r="D7" s="1733"/>
      <c r="E7" s="1733"/>
      <c r="F7" s="1734"/>
      <c r="G7" s="1730">
        <f t="shared" si="0"/>
        <v>0</v>
      </c>
      <c r="I7" s="1275" t="s">
        <v>1018</v>
      </c>
      <c r="J7" s="1271"/>
      <c r="K7" s="1278" t="s">
        <v>1019</v>
      </c>
      <c r="L7" s="1279">
        <f>DATE(L2,5,8)</f>
        <v>44324</v>
      </c>
    </row>
    <row r="8" spans="1:13" ht="15.75" x14ac:dyDescent="0.25">
      <c r="A8" s="1273">
        <f t="shared" si="1"/>
        <v>44322</v>
      </c>
      <c r="B8" s="1274">
        <f t="shared" si="1"/>
        <v>44322</v>
      </c>
      <c r="C8" s="1732"/>
      <c r="D8" s="1733"/>
      <c r="E8" s="1733"/>
      <c r="F8" s="1734"/>
      <c r="G8" s="1730">
        <f t="shared" si="0"/>
        <v>0</v>
      </c>
      <c r="I8" s="1275" t="s">
        <v>1020</v>
      </c>
      <c r="J8" s="1271"/>
      <c r="K8" s="1278" t="s">
        <v>729</v>
      </c>
      <c r="L8" s="1279">
        <f>L5+38</f>
        <v>44329</v>
      </c>
    </row>
    <row r="9" spans="1:13" ht="15.75" x14ac:dyDescent="0.25">
      <c r="A9" s="1273">
        <f t="shared" si="1"/>
        <v>44323</v>
      </c>
      <c r="B9" s="1274">
        <f t="shared" si="1"/>
        <v>44323</v>
      </c>
      <c r="C9" s="1732"/>
      <c r="D9" s="1733"/>
      <c r="E9" s="1733"/>
      <c r="F9" s="1734"/>
      <c r="G9" s="1730">
        <f t="shared" si="0"/>
        <v>0</v>
      </c>
      <c r="I9" s="1275" t="s">
        <v>42</v>
      </c>
      <c r="J9" s="1271"/>
      <c r="K9" s="1280" t="s">
        <v>732</v>
      </c>
      <c r="L9" s="1281">
        <f>L5+49</f>
        <v>44340</v>
      </c>
    </row>
    <row r="10" spans="1:13" ht="15.75" x14ac:dyDescent="0.25">
      <c r="A10" s="1273">
        <f t="shared" si="1"/>
        <v>44324</v>
      </c>
      <c r="B10" s="1274">
        <f t="shared" si="1"/>
        <v>44324</v>
      </c>
      <c r="C10" s="1732"/>
      <c r="D10" s="1733"/>
      <c r="E10" s="1733"/>
      <c r="F10" s="1734"/>
      <c r="G10" s="1730">
        <f t="shared" si="0"/>
        <v>0</v>
      </c>
      <c r="I10" s="1275" t="s">
        <v>1021</v>
      </c>
      <c r="J10" s="1271"/>
      <c r="K10" s="1282" t="s">
        <v>1022</v>
      </c>
      <c r="L10" s="1279">
        <f>DATE(L2,7,14)</f>
        <v>44391</v>
      </c>
    </row>
    <row r="11" spans="1:13" ht="15.75" x14ac:dyDescent="0.25">
      <c r="A11" s="1273">
        <f t="shared" si="1"/>
        <v>44325</v>
      </c>
      <c r="B11" s="1274">
        <f t="shared" si="1"/>
        <v>44325</v>
      </c>
      <c r="C11" s="1732"/>
      <c r="D11" s="1733"/>
      <c r="E11" s="1733"/>
      <c r="F11" s="1734"/>
      <c r="G11" s="1730">
        <f t="shared" si="0"/>
        <v>0</v>
      </c>
      <c r="I11" s="1275" t="s">
        <v>1023</v>
      </c>
      <c r="J11" s="1271"/>
      <c r="K11" s="1278" t="s">
        <v>586</v>
      </c>
      <c r="L11" s="1279">
        <f>DATE(L2,8,15)</f>
        <v>44423</v>
      </c>
    </row>
    <row r="12" spans="1:13" ht="15.75" x14ac:dyDescent="0.25">
      <c r="A12" s="1273">
        <f t="shared" si="1"/>
        <v>44326</v>
      </c>
      <c r="B12" s="1274">
        <f t="shared" si="1"/>
        <v>44326</v>
      </c>
      <c r="C12" s="1732"/>
      <c r="D12" s="1733"/>
      <c r="E12" s="1733"/>
      <c r="F12" s="1734"/>
      <c r="G12" s="1730">
        <f t="shared" si="0"/>
        <v>0</v>
      </c>
      <c r="I12" s="1275" t="s">
        <v>108</v>
      </c>
      <c r="J12" s="1271"/>
      <c r="K12" s="1278" t="s">
        <v>735</v>
      </c>
      <c r="L12" s="1279">
        <f>DATE(L2,11,1)</f>
        <v>44501</v>
      </c>
    </row>
    <row r="13" spans="1:13" ht="15.75" x14ac:dyDescent="0.25">
      <c r="A13" s="1273">
        <f t="shared" si="1"/>
        <v>44327</v>
      </c>
      <c r="B13" s="1274">
        <f t="shared" si="1"/>
        <v>44327</v>
      </c>
      <c r="C13" s="1732"/>
      <c r="D13" s="1733"/>
      <c r="E13" s="1733"/>
      <c r="F13" s="1734"/>
      <c r="G13" s="1730">
        <f t="shared" si="0"/>
        <v>0</v>
      </c>
      <c r="I13" s="1283" t="s">
        <v>51</v>
      </c>
      <c r="J13" s="1271"/>
      <c r="K13" s="1278" t="s">
        <v>1024</v>
      </c>
      <c r="L13" s="1279">
        <f>DATE(L2,11,11)</f>
        <v>44511</v>
      </c>
    </row>
    <row r="14" spans="1:13" x14ac:dyDescent="0.25">
      <c r="A14" s="1273">
        <f t="shared" si="1"/>
        <v>44328</v>
      </c>
      <c r="B14" s="1274">
        <f t="shared" si="1"/>
        <v>44328</v>
      </c>
      <c r="C14" s="1732"/>
      <c r="D14" s="1733"/>
      <c r="E14" s="1733"/>
      <c r="F14" s="1734"/>
      <c r="G14" s="1730">
        <f t="shared" si="0"/>
        <v>0</v>
      </c>
      <c r="I14" s="1271"/>
      <c r="J14" s="1271"/>
      <c r="K14" s="1278" t="s">
        <v>723</v>
      </c>
      <c r="L14" s="1279">
        <f>DATE(L2,12,25)</f>
        <v>44555</v>
      </c>
    </row>
    <row r="15" spans="1:13" x14ac:dyDescent="0.25">
      <c r="A15" s="1273">
        <f t="shared" si="1"/>
        <v>44329</v>
      </c>
      <c r="B15" s="1274">
        <f t="shared" si="1"/>
        <v>44329</v>
      </c>
      <c r="C15" s="1732"/>
      <c r="D15" s="1733"/>
      <c r="E15" s="1733"/>
      <c r="F15" s="1734"/>
      <c r="G15" s="1730">
        <f t="shared" si="0"/>
        <v>0</v>
      </c>
      <c r="I15" s="1271"/>
      <c r="J15" s="1271"/>
      <c r="K15" s="1276" t="s">
        <v>1025</v>
      </c>
      <c r="L15" s="1277">
        <f>DATE(L2+1,1,1)</f>
        <v>44562</v>
      </c>
      <c r="M15" s="386" t="s">
        <v>1071</v>
      </c>
    </row>
    <row r="16" spans="1:13" x14ac:dyDescent="0.25">
      <c r="A16" s="1273">
        <f t="shared" si="1"/>
        <v>44330</v>
      </c>
      <c r="B16" s="1274">
        <f t="shared" si="1"/>
        <v>44330</v>
      </c>
      <c r="C16" s="1732"/>
      <c r="D16" s="1733"/>
      <c r="E16" s="1733"/>
      <c r="F16" s="1734"/>
      <c r="G16" s="1730">
        <f t="shared" si="0"/>
        <v>0</v>
      </c>
    </row>
    <row r="17" spans="1:12" ht="18.75" x14ac:dyDescent="0.3">
      <c r="A17" s="1273">
        <f t="shared" si="1"/>
        <v>44331</v>
      </c>
      <c r="B17" s="1274">
        <f t="shared" si="1"/>
        <v>44331</v>
      </c>
      <c r="C17" s="1732"/>
      <c r="D17" s="1733"/>
      <c r="E17" s="1733"/>
      <c r="F17" s="1734"/>
      <c r="G17" s="1730">
        <f t="shared" si="0"/>
        <v>0</v>
      </c>
      <c r="K17" s="715" t="s">
        <v>1058</v>
      </c>
    </row>
    <row r="18" spans="1:12" ht="15.75" x14ac:dyDescent="0.25">
      <c r="A18" s="1273">
        <f t="shared" si="1"/>
        <v>44332</v>
      </c>
      <c r="B18" s="1274">
        <f t="shared" si="1"/>
        <v>44332</v>
      </c>
      <c r="C18" s="1732"/>
      <c r="D18" s="1733"/>
      <c r="E18" s="1733"/>
      <c r="F18" s="1734"/>
      <c r="G18" s="1730">
        <f t="shared" si="0"/>
        <v>0</v>
      </c>
      <c r="K18" s="1740">
        <v>0.3125</v>
      </c>
      <c r="L18" s="717"/>
    </row>
    <row r="19" spans="1:12" ht="15.75" x14ac:dyDescent="0.25">
      <c r="A19" s="1273">
        <f t="shared" si="1"/>
        <v>44333</v>
      </c>
      <c r="B19" s="1274">
        <f t="shared" si="1"/>
        <v>44333</v>
      </c>
      <c r="C19" s="1732"/>
      <c r="D19" s="1733"/>
      <c r="E19" s="1733"/>
      <c r="F19" s="1734"/>
      <c r="G19" s="1730">
        <f t="shared" si="0"/>
        <v>0</v>
      </c>
      <c r="K19" s="1463">
        <f>K18</f>
        <v>0.3125</v>
      </c>
      <c r="L19" s="1741" t="s">
        <v>873</v>
      </c>
    </row>
    <row r="20" spans="1:12" x14ac:dyDescent="0.25">
      <c r="A20" s="1273">
        <f t="shared" si="1"/>
        <v>44334</v>
      </c>
      <c r="B20" s="1274">
        <f t="shared" si="1"/>
        <v>44334</v>
      </c>
      <c r="C20" s="1732"/>
      <c r="D20" s="1733"/>
      <c r="E20" s="1733"/>
      <c r="F20" s="1734"/>
      <c r="G20" s="1730">
        <f t="shared" si="0"/>
        <v>0</v>
      </c>
    </row>
    <row r="21" spans="1:12" x14ac:dyDescent="0.25">
      <c r="A21" s="1273">
        <f t="shared" ref="A21:B33" si="2">A20+1</f>
        <v>44335</v>
      </c>
      <c r="B21" s="1274">
        <f t="shared" si="2"/>
        <v>44335</v>
      </c>
      <c r="C21" s="1732"/>
      <c r="D21" s="1733"/>
      <c r="E21" s="1733"/>
      <c r="F21" s="1734"/>
      <c r="G21" s="1730">
        <f t="shared" si="0"/>
        <v>0</v>
      </c>
    </row>
    <row r="22" spans="1:12" x14ac:dyDescent="0.25">
      <c r="A22" s="1273">
        <f t="shared" si="2"/>
        <v>44336</v>
      </c>
      <c r="B22" s="1274">
        <f t="shared" si="2"/>
        <v>44336</v>
      </c>
      <c r="C22" s="1732"/>
      <c r="D22" s="1733"/>
      <c r="E22" s="1733"/>
      <c r="F22" s="1734"/>
      <c r="G22" s="1730">
        <f t="shared" si="0"/>
        <v>0</v>
      </c>
    </row>
    <row r="23" spans="1:12" x14ac:dyDescent="0.25">
      <c r="A23" s="1273">
        <f t="shared" si="2"/>
        <v>44337</v>
      </c>
      <c r="B23" s="1274">
        <f t="shared" si="2"/>
        <v>44337</v>
      </c>
      <c r="C23" s="1732"/>
      <c r="D23" s="1733"/>
      <c r="E23" s="1733"/>
      <c r="F23" s="1734"/>
      <c r="G23" s="1730">
        <f t="shared" si="0"/>
        <v>0</v>
      </c>
    </row>
    <row r="24" spans="1:12" x14ac:dyDescent="0.25">
      <c r="A24" s="1273">
        <f t="shared" si="2"/>
        <v>44338</v>
      </c>
      <c r="B24" s="1274">
        <f t="shared" si="2"/>
        <v>44338</v>
      </c>
      <c r="C24" s="1732"/>
      <c r="D24" s="1733"/>
      <c r="E24" s="1733"/>
      <c r="F24" s="1734"/>
      <c r="G24" s="1730">
        <f t="shared" si="0"/>
        <v>0</v>
      </c>
    </row>
    <row r="25" spans="1:12" x14ac:dyDescent="0.25">
      <c r="A25" s="1273">
        <f t="shared" si="2"/>
        <v>44339</v>
      </c>
      <c r="B25" s="1274">
        <f t="shared" si="2"/>
        <v>44339</v>
      </c>
      <c r="C25" s="1732"/>
      <c r="D25" s="1733"/>
      <c r="E25" s="1733"/>
      <c r="F25" s="1734"/>
      <c r="G25" s="1730">
        <f t="shared" si="0"/>
        <v>0</v>
      </c>
    </row>
    <row r="26" spans="1:12" x14ac:dyDescent="0.25">
      <c r="A26" s="1273">
        <f t="shared" si="2"/>
        <v>44340</v>
      </c>
      <c r="B26" s="1274">
        <f t="shared" si="2"/>
        <v>44340</v>
      </c>
      <c r="C26" s="1732"/>
      <c r="D26" s="1733"/>
      <c r="E26" s="1733"/>
      <c r="F26" s="1734"/>
      <c r="G26" s="1730">
        <f t="shared" si="0"/>
        <v>0</v>
      </c>
    </row>
    <row r="27" spans="1:12" x14ac:dyDescent="0.25">
      <c r="A27" s="1273">
        <f t="shared" si="2"/>
        <v>44341</v>
      </c>
      <c r="B27" s="1274">
        <f t="shared" si="2"/>
        <v>44341</v>
      </c>
      <c r="C27" s="1732"/>
      <c r="D27" s="1733"/>
      <c r="E27" s="1733"/>
      <c r="F27" s="1734"/>
      <c r="G27" s="1730">
        <f t="shared" si="0"/>
        <v>0</v>
      </c>
    </row>
    <row r="28" spans="1:12" x14ac:dyDescent="0.25">
      <c r="A28" s="1273">
        <f t="shared" si="2"/>
        <v>44342</v>
      </c>
      <c r="B28" s="1274">
        <f t="shared" si="2"/>
        <v>44342</v>
      </c>
      <c r="C28" s="1732"/>
      <c r="D28" s="1733"/>
      <c r="E28" s="1733"/>
      <c r="F28" s="1734"/>
      <c r="G28" s="1730">
        <f t="shared" si="0"/>
        <v>0</v>
      </c>
    </row>
    <row r="29" spans="1:12" x14ac:dyDescent="0.25">
      <c r="A29" s="1273">
        <f t="shared" si="2"/>
        <v>44343</v>
      </c>
      <c r="B29" s="1274">
        <f t="shared" si="2"/>
        <v>44343</v>
      </c>
      <c r="C29" s="1732"/>
      <c r="D29" s="1733"/>
      <c r="E29" s="1733"/>
      <c r="F29" s="1734"/>
      <c r="G29" s="1730">
        <f t="shared" si="0"/>
        <v>0</v>
      </c>
    </row>
    <row r="30" spans="1:12" x14ac:dyDescent="0.25">
      <c r="A30" s="1273">
        <f t="shared" si="2"/>
        <v>44344</v>
      </c>
      <c r="B30" s="1274">
        <f t="shared" si="2"/>
        <v>44344</v>
      </c>
      <c r="C30" s="1732"/>
      <c r="D30" s="1733"/>
      <c r="E30" s="1733"/>
      <c r="F30" s="1734"/>
      <c r="G30" s="1730">
        <f t="shared" si="0"/>
        <v>0</v>
      </c>
    </row>
    <row r="31" spans="1:12" x14ac:dyDescent="0.25">
      <c r="A31" s="1273">
        <f t="shared" si="2"/>
        <v>44345</v>
      </c>
      <c r="B31" s="1274">
        <f t="shared" si="2"/>
        <v>44345</v>
      </c>
      <c r="C31" s="1732"/>
      <c r="D31" s="1733"/>
      <c r="E31" s="1733"/>
      <c r="F31" s="1734"/>
      <c r="G31" s="1730">
        <f t="shared" si="0"/>
        <v>0</v>
      </c>
    </row>
    <row r="32" spans="1:12" x14ac:dyDescent="0.25">
      <c r="A32" s="1273">
        <f t="shared" si="2"/>
        <v>44346</v>
      </c>
      <c r="B32" s="1274">
        <f t="shared" si="2"/>
        <v>44346</v>
      </c>
      <c r="C32" s="1732"/>
      <c r="D32" s="1733"/>
      <c r="E32" s="1733"/>
      <c r="F32" s="1734"/>
      <c r="G32" s="1730">
        <f t="shared" si="0"/>
        <v>0</v>
      </c>
    </row>
    <row r="33" spans="1:7" ht="15.75" thickBot="1" x14ac:dyDescent="0.3">
      <c r="A33" s="1738">
        <f t="shared" si="2"/>
        <v>44347</v>
      </c>
      <c r="B33" s="1739">
        <f>B32+1</f>
        <v>44347</v>
      </c>
      <c r="C33" s="1735"/>
      <c r="D33" s="1736"/>
      <c r="E33" s="1736"/>
      <c r="F33" s="1737"/>
      <c r="G33" s="1731">
        <f t="shared" si="0"/>
        <v>0</v>
      </c>
    </row>
    <row r="34" spans="1:7" ht="15.75" thickBot="1" x14ac:dyDescent="0.3">
      <c r="C34" s="1284"/>
      <c r="D34" s="1284"/>
      <c r="E34" s="1284"/>
      <c r="F34" s="1284"/>
      <c r="G34" s="1729">
        <f>SUM(G3:G33)</f>
        <v>0.63541666666666674</v>
      </c>
    </row>
  </sheetData>
  <conditionalFormatting sqref="A3:B33 B2">
    <cfRule type="expression" dxfId="1" priority="2">
      <formula>WEEKDAY(A2,2)&gt;5</formula>
    </cfRule>
  </conditionalFormatting>
  <conditionalFormatting sqref="A3:B33">
    <cfRule type="expression" dxfId="0" priority="1" stopIfTrue="1">
      <formula>COUNTIF(Fériés,$A3)=1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Drop Down 1">
              <controlPr defaultSize="0" autoLine="0" autoPict="0">
                <anchor moveWithCells="1">
                  <from>
                    <xdr:col>1</xdr:col>
                    <xdr:colOff>0</xdr:colOff>
                    <xdr:row>0</xdr:row>
                    <xdr:rowOff>180975</xdr:rowOff>
                  </from>
                  <to>
                    <xdr:col>1</xdr:col>
                    <xdr:colOff>752475</xdr:colOff>
                    <xdr:row>1</xdr:row>
                    <xdr:rowOff>190500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67C3-DFE1-432E-AA9C-1C6F5555FED9}">
  <sheetPr codeName="Feuil16"/>
  <dimension ref="A1:AJ64"/>
  <sheetViews>
    <sheetView workbookViewId="0">
      <selection activeCell="I29" sqref="I29"/>
    </sheetView>
  </sheetViews>
  <sheetFormatPr baseColWidth="10" defaultRowHeight="15.75" x14ac:dyDescent="0.25"/>
  <cols>
    <col min="1" max="1" width="3.375" style="1071" customWidth="1"/>
    <col min="2" max="2" width="9.5" style="1071" customWidth="1"/>
    <col min="3" max="3" width="19" style="1071" customWidth="1"/>
    <col min="4" max="4" width="9.25" style="1071" customWidth="1"/>
    <col min="5" max="5" width="7.125" style="1071" customWidth="1"/>
    <col min="6" max="6" width="6.75" style="1071" customWidth="1"/>
    <col min="7" max="7" width="15.375" style="1071" customWidth="1"/>
    <col min="8" max="8" width="21.875" style="1071" customWidth="1"/>
    <col min="9" max="9" width="11" style="1071"/>
    <col min="10" max="10" width="11.125" style="1072" customWidth="1"/>
    <col min="11" max="11" width="20.75" style="1072" customWidth="1"/>
    <col min="12" max="12" width="9.75" style="1072" customWidth="1"/>
    <col min="13" max="13" width="8.875" style="1072" customWidth="1"/>
    <col min="14" max="14" width="9.625" style="1072" customWidth="1"/>
    <col min="15" max="15" width="9.875" style="1072" customWidth="1"/>
    <col min="16" max="17" width="10.125" style="1072" customWidth="1"/>
    <col min="18" max="18" width="5" style="1072" customWidth="1"/>
    <col min="19" max="19" width="8.625" style="1072" customWidth="1"/>
    <col min="20" max="20" width="10.25" style="1072" customWidth="1"/>
    <col min="21" max="21" width="10" style="1072" customWidth="1"/>
    <col min="22" max="22" width="11" style="1071"/>
    <col min="23" max="23" width="19.125" style="1072" customWidth="1"/>
    <col min="24" max="33" width="6.375" style="1072" customWidth="1"/>
    <col min="34" max="34" width="5" style="1072" customWidth="1"/>
    <col min="35" max="257" width="11" style="1071"/>
    <col min="258" max="258" width="9.5" style="1071" customWidth="1"/>
    <col min="259" max="259" width="19" style="1071" customWidth="1"/>
    <col min="260" max="260" width="9.25" style="1071" customWidth="1"/>
    <col min="261" max="261" width="6" style="1071" customWidth="1"/>
    <col min="262" max="262" width="6.75" style="1071" customWidth="1"/>
    <col min="263" max="263" width="15.375" style="1071" customWidth="1"/>
    <col min="264" max="264" width="21.875" style="1071" customWidth="1"/>
    <col min="265" max="265" width="11" style="1071"/>
    <col min="266" max="266" width="11.125" style="1071" customWidth="1"/>
    <col min="267" max="267" width="20.75" style="1071" customWidth="1"/>
    <col min="268" max="277" width="5" style="1071" customWidth="1"/>
    <col min="278" max="278" width="11" style="1071"/>
    <col min="279" max="279" width="19.125" style="1071" customWidth="1"/>
    <col min="280" max="289" width="6.375" style="1071" customWidth="1"/>
    <col min="290" max="290" width="5" style="1071" customWidth="1"/>
    <col min="291" max="513" width="11" style="1071"/>
    <col min="514" max="514" width="9.5" style="1071" customWidth="1"/>
    <col min="515" max="515" width="19" style="1071" customWidth="1"/>
    <col min="516" max="516" width="9.25" style="1071" customWidth="1"/>
    <col min="517" max="517" width="6" style="1071" customWidth="1"/>
    <col min="518" max="518" width="6.75" style="1071" customWidth="1"/>
    <col min="519" max="519" width="15.375" style="1071" customWidth="1"/>
    <col min="520" max="520" width="21.875" style="1071" customWidth="1"/>
    <col min="521" max="521" width="11" style="1071"/>
    <col min="522" max="522" width="11.125" style="1071" customWidth="1"/>
    <col min="523" max="523" width="20.75" style="1071" customWidth="1"/>
    <col min="524" max="533" width="5" style="1071" customWidth="1"/>
    <col min="534" max="534" width="11" style="1071"/>
    <col min="535" max="535" width="19.125" style="1071" customWidth="1"/>
    <col min="536" max="545" width="6.375" style="1071" customWidth="1"/>
    <col min="546" max="546" width="5" style="1071" customWidth="1"/>
    <col min="547" max="769" width="11" style="1071"/>
    <col min="770" max="770" width="9.5" style="1071" customWidth="1"/>
    <col min="771" max="771" width="19" style="1071" customWidth="1"/>
    <col min="772" max="772" width="9.25" style="1071" customWidth="1"/>
    <col min="773" max="773" width="6" style="1071" customWidth="1"/>
    <col min="774" max="774" width="6.75" style="1071" customWidth="1"/>
    <col min="775" max="775" width="15.375" style="1071" customWidth="1"/>
    <col min="776" max="776" width="21.875" style="1071" customWidth="1"/>
    <col min="777" max="777" width="11" style="1071"/>
    <col min="778" max="778" width="11.125" style="1071" customWidth="1"/>
    <col min="779" max="779" width="20.75" style="1071" customWidth="1"/>
    <col min="780" max="789" width="5" style="1071" customWidth="1"/>
    <col min="790" max="790" width="11" style="1071"/>
    <col min="791" max="791" width="19.125" style="1071" customWidth="1"/>
    <col min="792" max="801" width="6.375" style="1071" customWidth="1"/>
    <col min="802" max="802" width="5" style="1071" customWidth="1"/>
    <col min="803" max="1025" width="11" style="1071"/>
    <col min="1026" max="1026" width="9.5" style="1071" customWidth="1"/>
    <col min="1027" max="1027" width="19" style="1071" customWidth="1"/>
    <col min="1028" max="1028" width="9.25" style="1071" customWidth="1"/>
    <col min="1029" max="1029" width="6" style="1071" customWidth="1"/>
    <col min="1030" max="1030" width="6.75" style="1071" customWidth="1"/>
    <col min="1031" max="1031" width="15.375" style="1071" customWidth="1"/>
    <col min="1032" max="1032" width="21.875" style="1071" customWidth="1"/>
    <col min="1033" max="1033" width="11" style="1071"/>
    <col min="1034" max="1034" width="11.125" style="1071" customWidth="1"/>
    <col min="1035" max="1035" width="20.75" style="1071" customWidth="1"/>
    <col min="1036" max="1045" width="5" style="1071" customWidth="1"/>
    <col min="1046" max="1046" width="11" style="1071"/>
    <col min="1047" max="1047" width="19.125" style="1071" customWidth="1"/>
    <col min="1048" max="1057" width="6.375" style="1071" customWidth="1"/>
    <col min="1058" max="1058" width="5" style="1071" customWidth="1"/>
    <col min="1059" max="1281" width="11" style="1071"/>
    <col min="1282" max="1282" width="9.5" style="1071" customWidth="1"/>
    <col min="1283" max="1283" width="19" style="1071" customWidth="1"/>
    <col min="1284" max="1284" width="9.25" style="1071" customWidth="1"/>
    <col min="1285" max="1285" width="6" style="1071" customWidth="1"/>
    <col min="1286" max="1286" width="6.75" style="1071" customWidth="1"/>
    <col min="1287" max="1287" width="15.375" style="1071" customWidth="1"/>
    <col min="1288" max="1288" width="21.875" style="1071" customWidth="1"/>
    <col min="1289" max="1289" width="11" style="1071"/>
    <col min="1290" max="1290" width="11.125" style="1071" customWidth="1"/>
    <col min="1291" max="1291" width="20.75" style="1071" customWidth="1"/>
    <col min="1292" max="1301" width="5" style="1071" customWidth="1"/>
    <col min="1302" max="1302" width="11" style="1071"/>
    <col min="1303" max="1303" width="19.125" style="1071" customWidth="1"/>
    <col min="1304" max="1313" width="6.375" style="1071" customWidth="1"/>
    <col min="1314" max="1314" width="5" style="1071" customWidth="1"/>
    <col min="1315" max="1537" width="11" style="1071"/>
    <col min="1538" max="1538" width="9.5" style="1071" customWidth="1"/>
    <col min="1539" max="1539" width="19" style="1071" customWidth="1"/>
    <col min="1540" max="1540" width="9.25" style="1071" customWidth="1"/>
    <col min="1541" max="1541" width="6" style="1071" customWidth="1"/>
    <col min="1542" max="1542" width="6.75" style="1071" customWidth="1"/>
    <col min="1543" max="1543" width="15.375" style="1071" customWidth="1"/>
    <col min="1544" max="1544" width="21.875" style="1071" customWidth="1"/>
    <col min="1545" max="1545" width="11" style="1071"/>
    <col min="1546" max="1546" width="11.125" style="1071" customWidth="1"/>
    <col min="1547" max="1547" width="20.75" style="1071" customWidth="1"/>
    <col min="1548" max="1557" width="5" style="1071" customWidth="1"/>
    <col min="1558" max="1558" width="11" style="1071"/>
    <col min="1559" max="1559" width="19.125" style="1071" customWidth="1"/>
    <col min="1560" max="1569" width="6.375" style="1071" customWidth="1"/>
    <col min="1570" max="1570" width="5" style="1071" customWidth="1"/>
    <col min="1571" max="1793" width="11" style="1071"/>
    <col min="1794" max="1794" width="9.5" style="1071" customWidth="1"/>
    <col min="1795" max="1795" width="19" style="1071" customWidth="1"/>
    <col min="1796" max="1796" width="9.25" style="1071" customWidth="1"/>
    <col min="1797" max="1797" width="6" style="1071" customWidth="1"/>
    <col min="1798" max="1798" width="6.75" style="1071" customWidth="1"/>
    <col min="1799" max="1799" width="15.375" style="1071" customWidth="1"/>
    <col min="1800" max="1800" width="21.875" style="1071" customWidth="1"/>
    <col min="1801" max="1801" width="11" style="1071"/>
    <col min="1802" max="1802" width="11.125" style="1071" customWidth="1"/>
    <col min="1803" max="1803" width="20.75" style="1071" customWidth="1"/>
    <col min="1804" max="1813" width="5" style="1071" customWidth="1"/>
    <col min="1814" max="1814" width="11" style="1071"/>
    <col min="1815" max="1815" width="19.125" style="1071" customWidth="1"/>
    <col min="1816" max="1825" width="6.375" style="1071" customWidth="1"/>
    <col min="1826" max="1826" width="5" style="1071" customWidth="1"/>
    <col min="1827" max="2049" width="11" style="1071"/>
    <col min="2050" max="2050" width="9.5" style="1071" customWidth="1"/>
    <col min="2051" max="2051" width="19" style="1071" customWidth="1"/>
    <col min="2052" max="2052" width="9.25" style="1071" customWidth="1"/>
    <col min="2053" max="2053" width="6" style="1071" customWidth="1"/>
    <col min="2054" max="2054" width="6.75" style="1071" customWidth="1"/>
    <col min="2055" max="2055" width="15.375" style="1071" customWidth="1"/>
    <col min="2056" max="2056" width="21.875" style="1071" customWidth="1"/>
    <col min="2057" max="2057" width="11" style="1071"/>
    <col min="2058" max="2058" width="11.125" style="1071" customWidth="1"/>
    <col min="2059" max="2059" width="20.75" style="1071" customWidth="1"/>
    <col min="2060" max="2069" width="5" style="1071" customWidth="1"/>
    <col min="2070" max="2070" width="11" style="1071"/>
    <col min="2071" max="2071" width="19.125" style="1071" customWidth="1"/>
    <col min="2072" max="2081" width="6.375" style="1071" customWidth="1"/>
    <col min="2082" max="2082" width="5" style="1071" customWidth="1"/>
    <col min="2083" max="2305" width="11" style="1071"/>
    <col min="2306" max="2306" width="9.5" style="1071" customWidth="1"/>
    <col min="2307" max="2307" width="19" style="1071" customWidth="1"/>
    <col min="2308" max="2308" width="9.25" style="1071" customWidth="1"/>
    <col min="2309" max="2309" width="6" style="1071" customWidth="1"/>
    <col min="2310" max="2310" width="6.75" style="1071" customWidth="1"/>
    <col min="2311" max="2311" width="15.375" style="1071" customWidth="1"/>
    <col min="2312" max="2312" width="21.875" style="1071" customWidth="1"/>
    <col min="2313" max="2313" width="11" style="1071"/>
    <col min="2314" max="2314" width="11.125" style="1071" customWidth="1"/>
    <col min="2315" max="2315" width="20.75" style="1071" customWidth="1"/>
    <col min="2316" max="2325" width="5" style="1071" customWidth="1"/>
    <col min="2326" max="2326" width="11" style="1071"/>
    <col min="2327" max="2327" width="19.125" style="1071" customWidth="1"/>
    <col min="2328" max="2337" width="6.375" style="1071" customWidth="1"/>
    <col min="2338" max="2338" width="5" style="1071" customWidth="1"/>
    <col min="2339" max="2561" width="11" style="1071"/>
    <col min="2562" max="2562" width="9.5" style="1071" customWidth="1"/>
    <col min="2563" max="2563" width="19" style="1071" customWidth="1"/>
    <col min="2564" max="2564" width="9.25" style="1071" customWidth="1"/>
    <col min="2565" max="2565" width="6" style="1071" customWidth="1"/>
    <col min="2566" max="2566" width="6.75" style="1071" customWidth="1"/>
    <col min="2567" max="2567" width="15.375" style="1071" customWidth="1"/>
    <col min="2568" max="2568" width="21.875" style="1071" customWidth="1"/>
    <col min="2569" max="2569" width="11" style="1071"/>
    <col min="2570" max="2570" width="11.125" style="1071" customWidth="1"/>
    <col min="2571" max="2571" width="20.75" style="1071" customWidth="1"/>
    <col min="2572" max="2581" width="5" style="1071" customWidth="1"/>
    <col min="2582" max="2582" width="11" style="1071"/>
    <col min="2583" max="2583" width="19.125" style="1071" customWidth="1"/>
    <col min="2584" max="2593" width="6.375" style="1071" customWidth="1"/>
    <col min="2594" max="2594" width="5" style="1071" customWidth="1"/>
    <col min="2595" max="2817" width="11" style="1071"/>
    <col min="2818" max="2818" width="9.5" style="1071" customWidth="1"/>
    <col min="2819" max="2819" width="19" style="1071" customWidth="1"/>
    <col min="2820" max="2820" width="9.25" style="1071" customWidth="1"/>
    <col min="2821" max="2821" width="6" style="1071" customWidth="1"/>
    <col min="2822" max="2822" width="6.75" style="1071" customWidth="1"/>
    <col min="2823" max="2823" width="15.375" style="1071" customWidth="1"/>
    <col min="2824" max="2824" width="21.875" style="1071" customWidth="1"/>
    <col min="2825" max="2825" width="11" style="1071"/>
    <col min="2826" max="2826" width="11.125" style="1071" customWidth="1"/>
    <col min="2827" max="2827" width="20.75" style="1071" customWidth="1"/>
    <col min="2828" max="2837" width="5" style="1071" customWidth="1"/>
    <col min="2838" max="2838" width="11" style="1071"/>
    <col min="2839" max="2839" width="19.125" style="1071" customWidth="1"/>
    <col min="2840" max="2849" width="6.375" style="1071" customWidth="1"/>
    <col min="2850" max="2850" width="5" style="1071" customWidth="1"/>
    <col min="2851" max="3073" width="11" style="1071"/>
    <col min="3074" max="3074" width="9.5" style="1071" customWidth="1"/>
    <col min="3075" max="3075" width="19" style="1071" customWidth="1"/>
    <col min="3076" max="3076" width="9.25" style="1071" customWidth="1"/>
    <col min="3077" max="3077" width="6" style="1071" customWidth="1"/>
    <col min="3078" max="3078" width="6.75" style="1071" customWidth="1"/>
    <col min="3079" max="3079" width="15.375" style="1071" customWidth="1"/>
    <col min="3080" max="3080" width="21.875" style="1071" customWidth="1"/>
    <col min="3081" max="3081" width="11" style="1071"/>
    <col min="3082" max="3082" width="11.125" style="1071" customWidth="1"/>
    <col min="3083" max="3083" width="20.75" style="1071" customWidth="1"/>
    <col min="3084" max="3093" width="5" style="1071" customWidth="1"/>
    <col min="3094" max="3094" width="11" style="1071"/>
    <col min="3095" max="3095" width="19.125" style="1071" customWidth="1"/>
    <col min="3096" max="3105" width="6.375" style="1071" customWidth="1"/>
    <col min="3106" max="3106" width="5" style="1071" customWidth="1"/>
    <col min="3107" max="3329" width="11" style="1071"/>
    <col min="3330" max="3330" width="9.5" style="1071" customWidth="1"/>
    <col min="3331" max="3331" width="19" style="1071" customWidth="1"/>
    <col min="3332" max="3332" width="9.25" style="1071" customWidth="1"/>
    <col min="3333" max="3333" width="6" style="1071" customWidth="1"/>
    <col min="3334" max="3334" width="6.75" style="1071" customWidth="1"/>
    <col min="3335" max="3335" width="15.375" style="1071" customWidth="1"/>
    <col min="3336" max="3336" width="21.875" style="1071" customWidth="1"/>
    <col min="3337" max="3337" width="11" style="1071"/>
    <col min="3338" max="3338" width="11.125" style="1071" customWidth="1"/>
    <col min="3339" max="3339" width="20.75" style="1071" customWidth="1"/>
    <col min="3340" max="3349" width="5" style="1071" customWidth="1"/>
    <col min="3350" max="3350" width="11" style="1071"/>
    <col min="3351" max="3351" width="19.125" style="1071" customWidth="1"/>
    <col min="3352" max="3361" width="6.375" style="1071" customWidth="1"/>
    <col min="3362" max="3362" width="5" style="1071" customWidth="1"/>
    <col min="3363" max="3585" width="11" style="1071"/>
    <col min="3586" max="3586" width="9.5" style="1071" customWidth="1"/>
    <col min="3587" max="3587" width="19" style="1071" customWidth="1"/>
    <col min="3588" max="3588" width="9.25" style="1071" customWidth="1"/>
    <col min="3589" max="3589" width="6" style="1071" customWidth="1"/>
    <col min="3590" max="3590" width="6.75" style="1071" customWidth="1"/>
    <col min="3591" max="3591" width="15.375" style="1071" customWidth="1"/>
    <col min="3592" max="3592" width="21.875" style="1071" customWidth="1"/>
    <col min="3593" max="3593" width="11" style="1071"/>
    <col min="3594" max="3594" width="11.125" style="1071" customWidth="1"/>
    <col min="3595" max="3595" width="20.75" style="1071" customWidth="1"/>
    <col min="3596" max="3605" width="5" style="1071" customWidth="1"/>
    <col min="3606" max="3606" width="11" style="1071"/>
    <col min="3607" max="3607" width="19.125" style="1071" customWidth="1"/>
    <col min="3608" max="3617" width="6.375" style="1071" customWidth="1"/>
    <col min="3618" max="3618" width="5" style="1071" customWidth="1"/>
    <col min="3619" max="3841" width="11" style="1071"/>
    <col min="3842" max="3842" width="9.5" style="1071" customWidth="1"/>
    <col min="3843" max="3843" width="19" style="1071" customWidth="1"/>
    <col min="3844" max="3844" width="9.25" style="1071" customWidth="1"/>
    <col min="3845" max="3845" width="6" style="1071" customWidth="1"/>
    <col min="3846" max="3846" width="6.75" style="1071" customWidth="1"/>
    <col min="3847" max="3847" width="15.375" style="1071" customWidth="1"/>
    <col min="3848" max="3848" width="21.875" style="1071" customWidth="1"/>
    <col min="3849" max="3849" width="11" style="1071"/>
    <col min="3850" max="3850" width="11.125" style="1071" customWidth="1"/>
    <col min="3851" max="3851" width="20.75" style="1071" customWidth="1"/>
    <col min="3852" max="3861" width="5" style="1071" customWidth="1"/>
    <col min="3862" max="3862" width="11" style="1071"/>
    <col min="3863" max="3863" width="19.125" style="1071" customWidth="1"/>
    <col min="3864" max="3873" width="6.375" style="1071" customWidth="1"/>
    <col min="3874" max="3874" width="5" style="1071" customWidth="1"/>
    <col min="3875" max="4097" width="11" style="1071"/>
    <col min="4098" max="4098" width="9.5" style="1071" customWidth="1"/>
    <col min="4099" max="4099" width="19" style="1071" customWidth="1"/>
    <col min="4100" max="4100" width="9.25" style="1071" customWidth="1"/>
    <col min="4101" max="4101" width="6" style="1071" customWidth="1"/>
    <col min="4102" max="4102" width="6.75" style="1071" customWidth="1"/>
    <col min="4103" max="4103" width="15.375" style="1071" customWidth="1"/>
    <col min="4104" max="4104" width="21.875" style="1071" customWidth="1"/>
    <col min="4105" max="4105" width="11" style="1071"/>
    <col min="4106" max="4106" width="11.125" style="1071" customWidth="1"/>
    <col min="4107" max="4107" width="20.75" style="1071" customWidth="1"/>
    <col min="4108" max="4117" width="5" style="1071" customWidth="1"/>
    <col min="4118" max="4118" width="11" style="1071"/>
    <col min="4119" max="4119" width="19.125" style="1071" customWidth="1"/>
    <col min="4120" max="4129" width="6.375" style="1071" customWidth="1"/>
    <col min="4130" max="4130" width="5" style="1071" customWidth="1"/>
    <col min="4131" max="4353" width="11" style="1071"/>
    <col min="4354" max="4354" width="9.5" style="1071" customWidth="1"/>
    <col min="4355" max="4355" width="19" style="1071" customWidth="1"/>
    <col min="4356" max="4356" width="9.25" style="1071" customWidth="1"/>
    <col min="4357" max="4357" width="6" style="1071" customWidth="1"/>
    <col min="4358" max="4358" width="6.75" style="1071" customWidth="1"/>
    <col min="4359" max="4359" width="15.375" style="1071" customWidth="1"/>
    <col min="4360" max="4360" width="21.875" style="1071" customWidth="1"/>
    <col min="4361" max="4361" width="11" style="1071"/>
    <col min="4362" max="4362" width="11.125" style="1071" customWidth="1"/>
    <col min="4363" max="4363" width="20.75" style="1071" customWidth="1"/>
    <col min="4364" max="4373" width="5" style="1071" customWidth="1"/>
    <col min="4374" max="4374" width="11" style="1071"/>
    <col min="4375" max="4375" width="19.125" style="1071" customWidth="1"/>
    <col min="4376" max="4385" width="6.375" style="1071" customWidth="1"/>
    <col min="4386" max="4386" width="5" style="1071" customWidth="1"/>
    <col min="4387" max="4609" width="11" style="1071"/>
    <col min="4610" max="4610" width="9.5" style="1071" customWidth="1"/>
    <col min="4611" max="4611" width="19" style="1071" customWidth="1"/>
    <col min="4612" max="4612" width="9.25" style="1071" customWidth="1"/>
    <col min="4613" max="4613" width="6" style="1071" customWidth="1"/>
    <col min="4614" max="4614" width="6.75" style="1071" customWidth="1"/>
    <col min="4615" max="4615" width="15.375" style="1071" customWidth="1"/>
    <col min="4616" max="4616" width="21.875" style="1071" customWidth="1"/>
    <col min="4617" max="4617" width="11" style="1071"/>
    <col min="4618" max="4618" width="11.125" style="1071" customWidth="1"/>
    <col min="4619" max="4619" width="20.75" style="1071" customWidth="1"/>
    <col min="4620" max="4629" width="5" style="1071" customWidth="1"/>
    <col min="4630" max="4630" width="11" style="1071"/>
    <col min="4631" max="4631" width="19.125" style="1071" customWidth="1"/>
    <col min="4632" max="4641" width="6.375" style="1071" customWidth="1"/>
    <col min="4642" max="4642" width="5" style="1071" customWidth="1"/>
    <col min="4643" max="4865" width="11" style="1071"/>
    <col min="4866" max="4866" width="9.5" style="1071" customWidth="1"/>
    <col min="4867" max="4867" width="19" style="1071" customWidth="1"/>
    <col min="4868" max="4868" width="9.25" style="1071" customWidth="1"/>
    <col min="4869" max="4869" width="6" style="1071" customWidth="1"/>
    <col min="4870" max="4870" width="6.75" style="1071" customWidth="1"/>
    <col min="4871" max="4871" width="15.375" style="1071" customWidth="1"/>
    <col min="4872" max="4872" width="21.875" style="1071" customWidth="1"/>
    <col min="4873" max="4873" width="11" style="1071"/>
    <col min="4874" max="4874" width="11.125" style="1071" customWidth="1"/>
    <col min="4875" max="4875" width="20.75" style="1071" customWidth="1"/>
    <col min="4876" max="4885" width="5" style="1071" customWidth="1"/>
    <col min="4886" max="4886" width="11" style="1071"/>
    <col min="4887" max="4887" width="19.125" style="1071" customWidth="1"/>
    <col min="4888" max="4897" width="6.375" style="1071" customWidth="1"/>
    <col min="4898" max="4898" width="5" style="1071" customWidth="1"/>
    <col min="4899" max="5121" width="11" style="1071"/>
    <col min="5122" max="5122" width="9.5" style="1071" customWidth="1"/>
    <col min="5123" max="5123" width="19" style="1071" customWidth="1"/>
    <col min="5124" max="5124" width="9.25" style="1071" customWidth="1"/>
    <col min="5125" max="5125" width="6" style="1071" customWidth="1"/>
    <col min="5126" max="5126" width="6.75" style="1071" customWidth="1"/>
    <col min="5127" max="5127" width="15.375" style="1071" customWidth="1"/>
    <col min="5128" max="5128" width="21.875" style="1071" customWidth="1"/>
    <col min="5129" max="5129" width="11" style="1071"/>
    <col min="5130" max="5130" width="11.125" style="1071" customWidth="1"/>
    <col min="5131" max="5131" width="20.75" style="1071" customWidth="1"/>
    <col min="5132" max="5141" width="5" style="1071" customWidth="1"/>
    <col min="5142" max="5142" width="11" style="1071"/>
    <col min="5143" max="5143" width="19.125" style="1071" customWidth="1"/>
    <col min="5144" max="5153" width="6.375" style="1071" customWidth="1"/>
    <col min="5154" max="5154" width="5" style="1071" customWidth="1"/>
    <col min="5155" max="5377" width="11" style="1071"/>
    <col min="5378" max="5378" width="9.5" style="1071" customWidth="1"/>
    <col min="5379" max="5379" width="19" style="1071" customWidth="1"/>
    <col min="5380" max="5380" width="9.25" style="1071" customWidth="1"/>
    <col min="5381" max="5381" width="6" style="1071" customWidth="1"/>
    <col min="5382" max="5382" width="6.75" style="1071" customWidth="1"/>
    <col min="5383" max="5383" width="15.375" style="1071" customWidth="1"/>
    <col min="5384" max="5384" width="21.875" style="1071" customWidth="1"/>
    <col min="5385" max="5385" width="11" style="1071"/>
    <col min="5386" max="5386" width="11.125" style="1071" customWidth="1"/>
    <col min="5387" max="5387" width="20.75" style="1071" customWidth="1"/>
    <col min="5388" max="5397" width="5" style="1071" customWidth="1"/>
    <col min="5398" max="5398" width="11" style="1071"/>
    <col min="5399" max="5399" width="19.125" style="1071" customWidth="1"/>
    <col min="5400" max="5409" width="6.375" style="1071" customWidth="1"/>
    <col min="5410" max="5410" width="5" style="1071" customWidth="1"/>
    <col min="5411" max="5633" width="11" style="1071"/>
    <col min="5634" max="5634" width="9.5" style="1071" customWidth="1"/>
    <col min="5635" max="5635" width="19" style="1071" customWidth="1"/>
    <col min="5636" max="5636" width="9.25" style="1071" customWidth="1"/>
    <col min="5637" max="5637" width="6" style="1071" customWidth="1"/>
    <col min="5638" max="5638" width="6.75" style="1071" customWidth="1"/>
    <col min="5639" max="5639" width="15.375" style="1071" customWidth="1"/>
    <col min="5640" max="5640" width="21.875" style="1071" customWidth="1"/>
    <col min="5641" max="5641" width="11" style="1071"/>
    <col min="5642" max="5642" width="11.125" style="1071" customWidth="1"/>
    <col min="5643" max="5643" width="20.75" style="1071" customWidth="1"/>
    <col min="5644" max="5653" width="5" style="1071" customWidth="1"/>
    <col min="5654" max="5654" width="11" style="1071"/>
    <col min="5655" max="5655" width="19.125" style="1071" customWidth="1"/>
    <col min="5656" max="5665" width="6.375" style="1071" customWidth="1"/>
    <col min="5666" max="5666" width="5" style="1071" customWidth="1"/>
    <col min="5667" max="5889" width="11" style="1071"/>
    <col min="5890" max="5890" width="9.5" style="1071" customWidth="1"/>
    <col min="5891" max="5891" width="19" style="1071" customWidth="1"/>
    <col min="5892" max="5892" width="9.25" style="1071" customWidth="1"/>
    <col min="5893" max="5893" width="6" style="1071" customWidth="1"/>
    <col min="5894" max="5894" width="6.75" style="1071" customWidth="1"/>
    <col min="5895" max="5895" width="15.375" style="1071" customWidth="1"/>
    <col min="5896" max="5896" width="21.875" style="1071" customWidth="1"/>
    <col min="5897" max="5897" width="11" style="1071"/>
    <col min="5898" max="5898" width="11.125" style="1071" customWidth="1"/>
    <col min="5899" max="5899" width="20.75" style="1071" customWidth="1"/>
    <col min="5900" max="5909" width="5" style="1071" customWidth="1"/>
    <col min="5910" max="5910" width="11" style="1071"/>
    <col min="5911" max="5911" width="19.125" style="1071" customWidth="1"/>
    <col min="5912" max="5921" width="6.375" style="1071" customWidth="1"/>
    <col min="5922" max="5922" width="5" style="1071" customWidth="1"/>
    <col min="5923" max="6145" width="11" style="1071"/>
    <col min="6146" max="6146" width="9.5" style="1071" customWidth="1"/>
    <col min="6147" max="6147" width="19" style="1071" customWidth="1"/>
    <col min="6148" max="6148" width="9.25" style="1071" customWidth="1"/>
    <col min="6149" max="6149" width="6" style="1071" customWidth="1"/>
    <col min="6150" max="6150" width="6.75" style="1071" customWidth="1"/>
    <col min="6151" max="6151" width="15.375" style="1071" customWidth="1"/>
    <col min="6152" max="6152" width="21.875" style="1071" customWidth="1"/>
    <col min="6153" max="6153" width="11" style="1071"/>
    <col min="6154" max="6154" width="11.125" style="1071" customWidth="1"/>
    <col min="6155" max="6155" width="20.75" style="1071" customWidth="1"/>
    <col min="6156" max="6165" width="5" style="1071" customWidth="1"/>
    <col min="6166" max="6166" width="11" style="1071"/>
    <col min="6167" max="6167" width="19.125" style="1071" customWidth="1"/>
    <col min="6168" max="6177" width="6.375" style="1071" customWidth="1"/>
    <col min="6178" max="6178" width="5" style="1071" customWidth="1"/>
    <col min="6179" max="6401" width="11" style="1071"/>
    <col min="6402" max="6402" width="9.5" style="1071" customWidth="1"/>
    <col min="6403" max="6403" width="19" style="1071" customWidth="1"/>
    <col min="6404" max="6404" width="9.25" style="1071" customWidth="1"/>
    <col min="6405" max="6405" width="6" style="1071" customWidth="1"/>
    <col min="6406" max="6406" width="6.75" style="1071" customWidth="1"/>
    <col min="6407" max="6407" width="15.375" style="1071" customWidth="1"/>
    <col min="6408" max="6408" width="21.875" style="1071" customWidth="1"/>
    <col min="6409" max="6409" width="11" style="1071"/>
    <col min="6410" max="6410" width="11.125" style="1071" customWidth="1"/>
    <col min="6411" max="6411" width="20.75" style="1071" customWidth="1"/>
    <col min="6412" max="6421" width="5" style="1071" customWidth="1"/>
    <col min="6422" max="6422" width="11" style="1071"/>
    <col min="6423" max="6423" width="19.125" style="1071" customWidth="1"/>
    <col min="6424" max="6433" width="6.375" style="1071" customWidth="1"/>
    <col min="6434" max="6434" width="5" style="1071" customWidth="1"/>
    <col min="6435" max="6657" width="11" style="1071"/>
    <col min="6658" max="6658" width="9.5" style="1071" customWidth="1"/>
    <col min="6659" max="6659" width="19" style="1071" customWidth="1"/>
    <col min="6660" max="6660" width="9.25" style="1071" customWidth="1"/>
    <col min="6661" max="6661" width="6" style="1071" customWidth="1"/>
    <col min="6662" max="6662" width="6.75" style="1071" customWidth="1"/>
    <col min="6663" max="6663" width="15.375" style="1071" customWidth="1"/>
    <col min="6664" max="6664" width="21.875" style="1071" customWidth="1"/>
    <col min="6665" max="6665" width="11" style="1071"/>
    <col min="6666" max="6666" width="11.125" style="1071" customWidth="1"/>
    <col min="6667" max="6667" width="20.75" style="1071" customWidth="1"/>
    <col min="6668" max="6677" width="5" style="1071" customWidth="1"/>
    <col min="6678" max="6678" width="11" style="1071"/>
    <col min="6679" max="6679" width="19.125" style="1071" customWidth="1"/>
    <col min="6680" max="6689" width="6.375" style="1071" customWidth="1"/>
    <col min="6690" max="6690" width="5" style="1071" customWidth="1"/>
    <col min="6691" max="6913" width="11" style="1071"/>
    <col min="6914" max="6914" width="9.5" style="1071" customWidth="1"/>
    <col min="6915" max="6915" width="19" style="1071" customWidth="1"/>
    <col min="6916" max="6916" width="9.25" style="1071" customWidth="1"/>
    <col min="6917" max="6917" width="6" style="1071" customWidth="1"/>
    <col min="6918" max="6918" width="6.75" style="1071" customWidth="1"/>
    <col min="6919" max="6919" width="15.375" style="1071" customWidth="1"/>
    <col min="6920" max="6920" width="21.875" style="1071" customWidth="1"/>
    <col min="6921" max="6921" width="11" style="1071"/>
    <col min="6922" max="6922" width="11.125" style="1071" customWidth="1"/>
    <col min="6923" max="6923" width="20.75" style="1071" customWidth="1"/>
    <col min="6924" max="6933" width="5" style="1071" customWidth="1"/>
    <col min="6934" max="6934" width="11" style="1071"/>
    <col min="6935" max="6935" width="19.125" style="1071" customWidth="1"/>
    <col min="6936" max="6945" width="6.375" style="1071" customWidth="1"/>
    <col min="6946" max="6946" width="5" style="1071" customWidth="1"/>
    <col min="6947" max="7169" width="11" style="1071"/>
    <col min="7170" max="7170" width="9.5" style="1071" customWidth="1"/>
    <col min="7171" max="7171" width="19" style="1071" customWidth="1"/>
    <col min="7172" max="7172" width="9.25" style="1071" customWidth="1"/>
    <col min="7173" max="7173" width="6" style="1071" customWidth="1"/>
    <col min="7174" max="7174" width="6.75" style="1071" customWidth="1"/>
    <col min="7175" max="7175" width="15.375" style="1071" customWidth="1"/>
    <col min="7176" max="7176" width="21.875" style="1071" customWidth="1"/>
    <col min="7177" max="7177" width="11" style="1071"/>
    <col min="7178" max="7178" width="11.125" style="1071" customWidth="1"/>
    <col min="7179" max="7179" width="20.75" style="1071" customWidth="1"/>
    <col min="7180" max="7189" width="5" style="1071" customWidth="1"/>
    <col min="7190" max="7190" width="11" style="1071"/>
    <col min="7191" max="7191" width="19.125" style="1071" customWidth="1"/>
    <col min="7192" max="7201" width="6.375" style="1071" customWidth="1"/>
    <col min="7202" max="7202" width="5" style="1071" customWidth="1"/>
    <col min="7203" max="7425" width="11" style="1071"/>
    <col min="7426" max="7426" width="9.5" style="1071" customWidth="1"/>
    <col min="7427" max="7427" width="19" style="1071" customWidth="1"/>
    <col min="7428" max="7428" width="9.25" style="1071" customWidth="1"/>
    <col min="7429" max="7429" width="6" style="1071" customWidth="1"/>
    <col min="7430" max="7430" width="6.75" style="1071" customWidth="1"/>
    <col min="7431" max="7431" width="15.375" style="1071" customWidth="1"/>
    <col min="7432" max="7432" width="21.875" style="1071" customWidth="1"/>
    <col min="7433" max="7433" width="11" style="1071"/>
    <col min="7434" max="7434" width="11.125" style="1071" customWidth="1"/>
    <col min="7435" max="7435" width="20.75" style="1071" customWidth="1"/>
    <col min="7436" max="7445" width="5" style="1071" customWidth="1"/>
    <col min="7446" max="7446" width="11" style="1071"/>
    <col min="7447" max="7447" width="19.125" style="1071" customWidth="1"/>
    <col min="7448" max="7457" width="6.375" style="1071" customWidth="1"/>
    <col min="7458" max="7458" width="5" style="1071" customWidth="1"/>
    <col min="7459" max="7681" width="11" style="1071"/>
    <col min="7682" max="7682" width="9.5" style="1071" customWidth="1"/>
    <col min="7683" max="7683" width="19" style="1071" customWidth="1"/>
    <col min="7684" max="7684" width="9.25" style="1071" customWidth="1"/>
    <col min="7685" max="7685" width="6" style="1071" customWidth="1"/>
    <col min="7686" max="7686" width="6.75" style="1071" customWidth="1"/>
    <col min="7687" max="7687" width="15.375" style="1071" customWidth="1"/>
    <col min="7688" max="7688" width="21.875" style="1071" customWidth="1"/>
    <col min="7689" max="7689" width="11" style="1071"/>
    <col min="7690" max="7690" width="11.125" style="1071" customWidth="1"/>
    <col min="7691" max="7691" width="20.75" style="1071" customWidth="1"/>
    <col min="7692" max="7701" width="5" style="1071" customWidth="1"/>
    <col min="7702" max="7702" width="11" style="1071"/>
    <col min="7703" max="7703" width="19.125" style="1071" customWidth="1"/>
    <col min="7704" max="7713" width="6.375" style="1071" customWidth="1"/>
    <col min="7714" max="7714" width="5" style="1071" customWidth="1"/>
    <col min="7715" max="7937" width="11" style="1071"/>
    <col min="7938" max="7938" width="9.5" style="1071" customWidth="1"/>
    <col min="7939" max="7939" width="19" style="1071" customWidth="1"/>
    <col min="7940" max="7940" width="9.25" style="1071" customWidth="1"/>
    <col min="7941" max="7941" width="6" style="1071" customWidth="1"/>
    <col min="7942" max="7942" width="6.75" style="1071" customWidth="1"/>
    <col min="7943" max="7943" width="15.375" style="1071" customWidth="1"/>
    <col min="7944" max="7944" width="21.875" style="1071" customWidth="1"/>
    <col min="7945" max="7945" width="11" style="1071"/>
    <col min="7946" max="7946" width="11.125" style="1071" customWidth="1"/>
    <col min="7947" max="7947" width="20.75" style="1071" customWidth="1"/>
    <col min="7948" max="7957" width="5" style="1071" customWidth="1"/>
    <col min="7958" max="7958" width="11" style="1071"/>
    <col min="7959" max="7959" width="19.125" style="1071" customWidth="1"/>
    <col min="7960" max="7969" width="6.375" style="1071" customWidth="1"/>
    <col min="7970" max="7970" width="5" style="1071" customWidth="1"/>
    <col min="7971" max="8193" width="11" style="1071"/>
    <col min="8194" max="8194" width="9.5" style="1071" customWidth="1"/>
    <col min="8195" max="8195" width="19" style="1071" customWidth="1"/>
    <col min="8196" max="8196" width="9.25" style="1071" customWidth="1"/>
    <col min="8197" max="8197" width="6" style="1071" customWidth="1"/>
    <col min="8198" max="8198" width="6.75" style="1071" customWidth="1"/>
    <col min="8199" max="8199" width="15.375" style="1071" customWidth="1"/>
    <col min="8200" max="8200" width="21.875" style="1071" customWidth="1"/>
    <col min="8201" max="8201" width="11" style="1071"/>
    <col min="8202" max="8202" width="11.125" style="1071" customWidth="1"/>
    <col min="8203" max="8203" width="20.75" style="1071" customWidth="1"/>
    <col min="8204" max="8213" width="5" style="1071" customWidth="1"/>
    <col min="8214" max="8214" width="11" style="1071"/>
    <col min="8215" max="8215" width="19.125" style="1071" customWidth="1"/>
    <col min="8216" max="8225" width="6.375" style="1071" customWidth="1"/>
    <col min="8226" max="8226" width="5" style="1071" customWidth="1"/>
    <col min="8227" max="8449" width="11" style="1071"/>
    <col min="8450" max="8450" width="9.5" style="1071" customWidth="1"/>
    <col min="8451" max="8451" width="19" style="1071" customWidth="1"/>
    <col min="8452" max="8452" width="9.25" style="1071" customWidth="1"/>
    <col min="8453" max="8453" width="6" style="1071" customWidth="1"/>
    <col min="8454" max="8454" width="6.75" style="1071" customWidth="1"/>
    <col min="8455" max="8455" width="15.375" style="1071" customWidth="1"/>
    <col min="8456" max="8456" width="21.875" style="1071" customWidth="1"/>
    <col min="8457" max="8457" width="11" style="1071"/>
    <col min="8458" max="8458" width="11.125" style="1071" customWidth="1"/>
    <col min="8459" max="8459" width="20.75" style="1071" customWidth="1"/>
    <col min="8460" max="8469" width="5" style="1071" customWidth="1"/>
    <col min="8470" max="8470" width="11" style="1071"/>
    <col min="8471" max="8471" width="19.125" style="1071" customWidth="1"/>
    <col min="8472" max="8481" width="6.375" style="1071" customWidth="1"/>
    <col min="8482" max="8482" width="5" style="1071" customWidth="1"/>
    <col min="8483" max="8705" width="11" style="1071"/>
    <col min="8706" max="8706" width="9.5" style="1071" customWidth="1"/>
    <col min="8707" max="8707" width="19" style="1071" customWidth="1"/>
    <col min="8708" max="8708" width="9.25" style="1071" customWidth="1"/>
    <col min="8709" max="8709" width="6" style="1071" customWidth="1"/>
    <col min="8710" max="8710" width="6.75" style="1071" customWidth="1"/>
    <col min="8711" max="8711" width="15.375" style="1071" customWidth="1"/>
    <col min="8712" max="8712" width="21.875" style="1071" customWidth="1"/>
    <col min="8713" max="8713" width="11" style="1071"/>
    <col min="8714" max="8714" width="11.125" style="1071" customWidth="1"/>
    <col min="8715" max="8715" width="20.75" style="1071" customWidth="1"/>
    <col min="8716" max="8725" width="5" style="1071" customWidth="1"/>
    <col min="8726" max="8726" width="11" style="1071"/>
    <col min="8727" max="8727" width="19.125" style="1071" customWidth="1"/>
    <col min="8728" max="8737" width="6.375" style="1071" customWidth="1"/>
    <col min="8738" max="8738" width="5" style="1071" customWidth="1"/>
    <col min="8739" max="8961" width="11" style="1071"/>
    <col min="8962" max="8962" width="9.5" style="1071" customWidth="1"/>
    <col min="8963" max="8963" width="19" style="1071" customWidth="1"/>
    <col min="8964" max="8964" width="9.25" style="1071" customWidth="1"/>
    <col min="8965" max="8965" width="6" style="1071" customWidth="1"/>
    <col min="8966" max="8966" width="6.75" style="1071" customWidth="1"/>
    <col min="8967" max="8967" width="15.375" style="1071" customWidth="1"/>
    <col min="8968" max="8968" width="21.875" style="1071" customWidth="1"/>
    <col min="8969" max="8969" width="11" style="1071"/>
    <col min="8970" max="8970" width="11.125" style="1071" customWidth="1"/>
    <col min="8971" max="8971" width="20.75" style="1071" customWidth="1"/>
    <col min="8972" max="8981" width="5" style="1071" customWidth="1"/>
    <col min="8982" max="8982" width="11" style="1071"/>
    <col min="8983" max="8983" width="19.125" style="1071" customWidth="1"/>
    <col min="8984" max="8993" width="6.375" style="1071" customWidth="1"/>
    <col min="8994" max="8994" width="5" style="1071" customWidth="1"/>
    <col min="8995" max="9217" width="11" style="1071"/>
    <col min="9218" max="9218" width="9.5" style="1071" customWidth="1"/>
    <col min="9219" max="9219" width="19" style="1071" customWidth="1"/>
    <col min="9220" max="9220" width="9.25" style="1071" customWidth="1"/>
    <col min="9221" max="9221" width="6" style="1071" customWidth="1"/>
    <col min="9222" max="9222" width="6.75" style="1071" customWidth="1"/>
    <col min="9223" max="9223" width="15.375" style="1071" customWidth="1"/>
    <col min="9224" max="9224" width="21.875" style="1071" customWidth="1"/>
    <col min="9225" max="9225" width="11" style="1071"/>
    <col min="9226" max="9226" width="11.125" style="1071" customWidth="1"/>
    <col min="9227" max="9227" width="20.75" style="1071" customWidth="1"/>
    <col min="9228" max="9237" width="5" style="1071" customWidth="1"/>
    <col min="9238" max="9238" width="11" style="1071"/>
    <col min="9239" max="9239" width="19.125" style="1071" customWidth="1"/>
    <col min="9240" max="9249" width="6.375" style="1071" customWidth="1"/>
    <col min="9250" max="9250" width="5" style="1071" customWidth="1"/>
    <col min="9251" max="9473" width="11" style="1071"/>
    <col min="9474" max="9474" width="9.5" style="1071" customWidth="1"/>
    <col min="9475" max="9475" width="19" style="1071" customWidth="1"/>
    <col min="9476" max="9476" width="9.25" style="1071" customWidth="1"/>
    <col min="9477" max="9477" width="6" style="1071" customWidth="1"/>
    <col min="9478" max="9478" width="6.75" style="1071" customWidth="1"/>
    <col min="9479" max="9479" width="15.375" style="1071" customWidth="1"/>
    <col min="9480" max="9480" width="21.875" style="1071" customWidth="1"/>
    <col min="9481" max="9481" width="11" style="1071"/>
    <col min="9482" max="9482" width="11.125" style="1071" customWidth="1"/>
    <col min="9483" max="9483" width="20.75" style="1071" customWidth="1"/>
    <col min="9484" max="9493" width="5" style="1071" customWidth="1"/>
    <col min="9494" max="9494" width="11" style="1071"/>
    <col min="9495" max="9495" width="19.125" style="1071" customWidth="1"/>
    <col min="9496" max="9505" width="6.375" style="1071" customWidth="1"/>
    <col min="9506" max="9506" width="5" style="1071" customWidth="1"/>
    <col min="9507" max="9729" width="11" style="1071"/>
    <col min="9730" max="9730" width="9.5" style="1071" customWidth="1"/>
    <col min="9731" max="9731" width="19" style="1071" customWidth="1"/>
    <col min="9732" max="9732" width="9.25" style="1071" customWidth="1"/>
    <col min="9733" max="9733" width="6" style="1071" customWidth="1"/>
    <col min="9734" max="9734" width="6.75" style="1071" customWidth="1"/>
    <col min="9735" max="9735" width="15.375" style="1071" customWidth="1"/>
    <col min="9736" max="9736" width="21.875" style="1071" customWidth="1"/>
    <col min="9737" max="9737" width="11" style="1071"/>
    <col min="9738" max="9738" width="11.125" style="1071" customWidth="1"/>
    <col min="9739" max="9739" width="20.75" style="1071" customWidth="1"/>
    <col min="9740" max="9749" width="5" style="1071" customWidth="1"/>
    <col min="9750" max="9750" width="11" style="1071"/>
    <col min="9751" max="9751" width="19.125" style="1071" customWidth="1"/>
    <col min="9752" max="9761" width="6.375" style="1071" customWidth="1"/>
    <col min="9762" max="9762" width="5" style="1071" customWidth="1"/>
    <col min="9763" max="9985" width="11" style="1071"/>
    <col min="9986" max="9986" width="9.5" style="1071" customWidth="1"/>
    <col min="9987" max="9987" width="19" style="1071" customWidth="1"/>
    <col min="9988" max="9988" width="9.25" style="1071" customWidth="1"/>
    <col min="9989" max="9989" width="6" style="1071" customWidth="1"/>
    <col min="9990" max="9990" width="6.75" style="1071" customWidth="1"/>
    <col min="9991" max="9991" width="15.375" style="1071" customWidth="1"/>
    <col min="9992" max="9992" width="21.875" style="1071" customWidth="1"/>
    <col min="9993" max="9993" width="11" style="1071"/>
    <col min="9994" max="9994" width="11.125" style="1071" customWidth="1"/>
    <col min="9995" max="9995" width="20.75" style="1071" customWidth="1"/>
    <col min="9996" max="10005" width="5" style="1071" customWidth="1"/>
    <col min="10006" max="10006" width="11" style="1071"/>
    <col min="10007" max="10007" width="19.125" style="1071" customWidth="1"/>
    <col min="10008" max="10017" width="6.375" style="1071" customWidth="1"/>
    <col min="10018" max="10018" width="5" style="1071" customWidth="1"/>
    <col min="10019" max="10241" width="11" style="1071"/>
    <col min="10242" max="10242" width="9.5" style="1071" customWidth="1"/>
    <col min="10243" max="10243" width="19" style="1071" customWidth="1"/>
    <col min="10244" max="10244" width="9.25" style="1071" customWidth="1"/>
    <col min="10245" max="10245" width="6" style="1071" customWidth="1"/>
    <col min="10246" max="10246" width="6.75" style="1071" customWidth="1"/>
    <col min="10247" max="10247" width="15.375" style="1071" customWidth="1"/>
    <col min="10248" max="10248" width="21.875" style="1071" customWidth="1"/>
    <col min="10249" max="10249" width="11" style="1071"/>
    <col min="10250" max="10250" width="11.125" style="1071" customWidth="1"/>
    <col min="10251" max="10251" width="20.75" style="1071" customWidth="1"/>
    <col min="10252" max="10261" width="5" style="1071" customWidth="1"/>
    <col min="10262" max="10262" width="11" style="1071"/>
    <col min="10263" max="10263" width="19.125" style="1071" customWidth="1"/>
    <col min="10264" max="10273" width="6.375" style="1071" customWidth="1"/>
    <col min="10274" max="10274" width="5" style="1071" customWidth="1"/>
    <col min="10275" max="10497" width="11" style="1071"/>
    <col min="10498" max="10498" width="9.5" style="1071" customWidth="1"/>
    <col min="10499" max="10499" width="19" style="1071" customWidth="1"/>
    <col min="10500" max="10500" width="9.25" style="1071" customWidth="1"/>
    <col min="10501" max="10501" width="6" style="1071" customWidth="1"/>
    <col min="10502" max="10502" width="6.75" style="1071" customWidth="1"/>
    <col min="10503" max="10503" width="15.375" style="1071" customWidth="1"/>
    <col min="10504" max="10504" width="21.875" style="1071" customWidth="1"/>
    <col min="10505" max="10505" width="11" style="1071"/>
    <col min="10506" max="10506" width="11.125" style="1071" customWidth="1"/>
    <col min="10507" max="10507" width="20.75" style="1071" customWidth="1"/>
    <col min="10508" max="10517" width="5" style="1071" customWidth="1"/>
    <col min="10518" max="10518" width="11" style="1071"/>
    <col min="10519" max="10519" width="19.125" style="1071" customWidth="1"/>
    <col min="10520" max="10529" width="6.375" style="1071" customWidth="1"/>
    <col min="10530" max="10530" width="5" style="1071" customWidth="1"/>
    <col min="10531" max="10753" width="11" style="1071"/>
    <col min="10754" max="10754" width="9.5" style="1071" customWidth="1"/>
    <col min="10755" max="10755" width="19" style="1071" customWidth="1"/>
    <col min="10756" max="10756" width="9.25" style="1071" customWidth="1"/>
    <col min="10757" max="10757" width="6" style="1071" customWidth="1"/>
    <col min="10758" max="10758" width="6.75" style="1071" customWidth="1"/>
    <col min="10759" max="10759" width="15.375" style="1071" customWidth="1"/>
    <col min="10760" max="10760" width="21.875" style="1071" customWidth="1"/>
    <col min="10761" max="10761" width="11" style="1071"/>
    <col min="10762" max="10762" width="11.125" style="1071" customWidth="1"/>
    <col min="10763" max="10763" width="20.75" style="1071" customWidth="1"/>
    <col min="10764" max="10773" width="5" style="1071" customWidth="1"/>
    <col min="10774" max="10774" width="11" style="1071"/>
    <col min="10775" max="10775" width="19.125" style="1071" customWidth="1"/>
    <col min="10776" max="10785" width="6.375" style="1071" customWidth="1"/>
    <col min="10786" max="10786" width="5" style="1071" customWidth="1"/>
    <col min="10787" max="11009" width="11" style="1071"/>
    <col min="11010" max="11010" width="9.5" style="1071" customWidth="1"/>
    <col min="11011" max="11011" width="19" style="1071" customWidth="1"/>
    <col min="11012" max="11012" width="9.25" style="1071" customWidth="1"/>
    <col min="11013" max="11013" width="6" style="1071" customWidth="1"/>
    <col min="11014" max="11014" width="6.75" style="1071" customWidth="1"/>
    <col min="11015" max="11015" width="15.375" style="1071" customWidth="1"/>
    <col min="11016" max="11016" width="21.875" style="1071" customWidth="1"/>
    <col min="11017" max="11017" width="11" style="1071"/>
    <col min="11018" max="11018" width="11.125" style="1071" customWidth="1"/>
    <col min="11019" max="11019" width="20.75" style="1071" customWidth="1"/>
    <col min="11020" max="11029" width="5" style="1071" customWidth="1"/>
    <col min="11030" max="11030" width="11" style="1071"/>
    <col min="11031" max="11031" width="19.125" style="1071" customWidth="1"/>
    <col min="11032" max="11041" width="6.375" style="1071" customWidth="1"/>
    <col min="11042" max="11042" width="5" style="1071" customWidth="1"/>
    <col min="11043" max="11265" width="11" style="1071"/>
    <col min="11266" max="11266" width="9.5" style="1071" customWidth="1"/>
    <col min="11267" max="11267" width="19" style="1071" customWidth="1"/>
    <col min="11268" max="11268" width="9.25" style="1071" customWidth="1"/>
    <col min="11269" max="11269" width="6" style="1071" customWidth="1"/>
    <col min="11270" max="11270" width="6.75" style="1071" customWidth="1"/>
    <col min="11271" max="11271" width="15.375" style="1071" customWidth="1"/>
    <col min="11272" max="11272" width="21.875" style="1071" customWidth="1"/>
    <col min="11273" max="11273" width="11" style="1071"/>
    <col min="11274" max="11274" width="11.125" style="1071" customWidth="1"/>
    <col min="11275" max="11275" width="20.75" style="1071" customWidth="1"/>
    <col min="11276" max="11285" width="5" style="1071" customWidth="1"/>
    <col min="11286" max="11286" width="11" style="1071"/>
    <col min="11287" max="11287" width="19.125" style="1071" customWidth="1"/>
    <col min="11288" max="11297" width="6.375" style="1071" customWidth="1"/>
    <col min="11298" max="11298" width="5" style="1071" customWidth="1"/>
    <col min="11299" max="11521" width="11" style="1071"/>
    <col min="11522" max="11522" width="9.5" style="1071" customWidth="1"/>
    <col min="11523" max="11523" width="19" style="1071" customWidth="1"/>
    <col min="11524" max="11524" width="9.25" style="1071" customWidth="1"/>
    <col min="11525" max="11525" width="6" style="1071" customWidth="1"/>
    <col min="11526" max="11526" width="6.75" style="1071" customWidth="1"/>
    <col min="11527" max="11527" width="15.375" style="1071" customWidth="1"/>
    <col min="11528" max="11528" width="21.875" style="1071" customWidth="1"/>
    <col min="11529" max="11529" width="11" style="1071"/>
    <col min="11530" max="11530" width="11.125" style="1071" customWidth="1"/>
    <col min="11531" max="11531" width="20.75" style="1071" customWidth="1"/>
    <col min="11532" max="11541" width="5" style="1071" customWidth="1"/>
    <col min="11542" max="11542" width="11" style="1071"/>
    <col min="11543" max="11543" width="19.125" style="1071" customWidth="1"/>
    <col min="11544" max="11553" width="6.375" style="1071" customWidth="1"/>
    <col min="11554" max="11554" width="5" style="1071" customWidth="1"/>
    <col min="11555" max="11777" width="11" style="1071"/>
    <col min="11778" max="11778" width="9.5" style="1071" customWidth="1"/>
    <col min="11779" max="11779" width="19" style="1071" customWidth="1"/>
    <col min="11780" max="11780" width="9.25" style="1071" customWidth="1"/>
    <col min="11781" max="11781" width="6" style="1071" customWidth="1"/>
    <col min="11782" max="11782" width="6.75" style="1071" customWidth="1"/>
    <col min="11783" max="11783" width="15.375" style="1071" customWidth="1"/>
    <col min="11784" max="11784" width="21.875" style="1071" customWidth="1"/>
    <col min="11785" max="11785" width="11" style="1071"/>
    <col min="11786" max="11786" width="11.125" style="1071" customWidth="1"/>
    <col min="11787" max="11787" width="20.75" style="1071" customWidth="1"/>
    <col min="11788" max="11797" width="5" style="1071" customWidth="1"/>
    <col min="11798" max="11798" width="11" style="1071"/>
    <col min="11799" max="11799" width="19.125" style="1071" customWidth="1"/>
    <col min="11800" max="11809" width="6.375" style="1071" customWidth="1"/>
    <col min="11810" max="11810" width="5" style="1071" customWidth="1"/>
    <col min="11811" max="12033" width="11" style="1071"/>
    <col min="12034" max="12034" width="9.5" style="1071" customWidth="1"/>
    <col min="12035" max="12035" width="19" style="1071" customWidth="1"/>
    <col min="12036" max="12036" width="9.25" style="1071" customWidth="1"/>
    <col min="12037" max="12037" width="6" style="1071" customWidth="1"/>
    <col min="12038" max="12038" width="6.75" style="1071" customWidth="1"/>
    <col min="12039" max="12039" width="15.375" style="1071" customWidth="1"/>
    <col min="12040" max="12040" width="21.875" style="1071" customWidth="1"/>
    <col min="12041" max="12041" width="11" style="1071"/>
    <col min="12042" max="12042" width="11.125" style="1071" customWidth="1"/>
    <col min="12043" max="12043" width="20.75" style="1071" customWidth="1"/>
    <col min="12044" max="12053" width="5" style="1071" customWidth="1"/>
    <col min="12054" max="12054" width="11" style="1071"/>
    <col min="12055" max="12055" width="19.125" style="1071" customWidth="1"/>
    <col min="12056" max="12065" width="6.375" style="1071" customWidth="1"/>
    <col min="12066" max="12066" width="5" style="1071" customWidth="1"/>
    <col min="12067" max="12289" width="11" style="1071"/>
    <col min="12290" max="12290" width="9.5" style="1071" customWidth="1"/>
    <col min="12291" max="12291" width="19" style="1071" customWidth="1"/>
    <col min="12292" max="12292" width="9.25" style="1071" customWidth="1"/>
    <col min="12293" max="12293" width="6" style="1071" customWidth="1"/>
    <col min="12294" max="12294" width="6.75" style="1071" customWidth="1"/>
    <col min="12295" max="12295" width="15.375" style="1071" customWidth="1"/>
    <col min="12296" max="12296" width="21.875" style="1071" customWidth="1"/>
    <col min="12297" max="12297" width="11" style="1071"/>
    <col min="12298" max="12298" width="11.125" style="1071" customWidth="1"/>
    <col min="12299" max="12299" width="20.75" style="1071" customWidth="1"/>
    <col min="12300" max="12309" width="5" style="1071" customWidth="1"/>
    <col min="12310" max="12310" width="11" style="1071"/>
    <col min="12311" max="12311" width="19.125" style="1071" customWidth="1"/>
    <col min="12312" max="12321" width="6.375" style="1071" customWidth="1"/>
    <col min="12322" max="12322" width="5" style="1071" customWidth="1"/>
    <col min="12323" max="12545" width="11" style="1071"/>
    <col min="12546" max="12546" width="9.5" style="1071" customWidth="1"/>
    <col min="12547" max="12547" width="19" style="1071" customWidth="1"/>
    <col min="12548" max="12548" width="9.25" style="1071" customWidth="1"/>
    <col min="12549" max="12549" width="6" style="1071" customWidth="1"/>
    <col min="12550" max="12550" width="6.75" style="1071" customWidth="1"/>
    <col min="12551" max="12551" width="15.375" style="1071" customWidth="1"/>
    <col min="12552" max="12552" width="21.875" style="1071" customWidth="1"/>
    <col min="12553" max="12553" width="11" style="1071"/>
    <col min="12554" max="12554" width="11.125" style="1071" customWidth="1"/>
    <col min="12555" max="12555" width="20.75" style="1071" customWidth="1"/>
    <col min="12556" max="12565" width="5" style="1071" customWidth="1"/>
    <col min="12566" max="12566" width="11" style="1071"/>
    <col min="12567" max="12567" width="19.125" style="1071" customWidth="1"/>
    <col min="12568" max="12577" width="6.375" style="1071" customWidth="1"/>
    <col min="12578" max="12578" width="5" style="1071" customWidth="1"/>
    <col min="12579" max="12801" width="11" style="1071"/>
    <col min="12802" max="12802" width="9.5" style="1071" customWidth="1"/>
    <col min="12803" max="12803" width="19" style="1071" customWidth="1"/>
    <col min="12804" max="12804" width="9.25" style="1071" customWidth="1"/>
    <col min="12805" max="12805" width="6" style="1071" customWidth="1"/>
    <col min="12806" max="12806" width="6.75" style="1071" customWidth="1"/>
    <col min="12807" max="12807" width="15.375" style="1071" customWidth="1"/>
    <col min="12808" max="12808" width="21.875" style="1071" customWidth="1"/>
    <col min="12809" max="12809" width="11" style="1071"/>
    <col min="12810" max="12810" width="11.125" style="1071" customWidth="1"/>
    <col min="12811" max="12811" width="20.75" style="1071" customWidth="1"/>
    <col min="12812" max="12821" width="5" style="1071" customWidth="1"/>
    <col min="12822" max="12822" width="11" style="1071"/>
    <col min="12823" max="12823" width="19.125" style="1071" customWidth="1"/>
    <col min="12824" max="12833" width="6.375" style="1071" customWidth="1"/>
    <col min="12834" max="12834" width="5" style="1071" customWidth="1"/>
    <col min="12835" max="13057" width="11" style="1071"/>
    <col min="13058" max="13058" width="9.5" style="1071" customWidth="1"/>
    <col min="13059" max="13059" width="19" style="1071" customWidth="1"/>
    <col min="13060" max="13060" width="9.25" style="1071" customWidth="1"/>
    <col min="13061" max="13061" width="6" style="1071" customWidth="1"/>
    <col min="13062" max="13062" width="6.75" style="1071" customWidth="1"/>
    <col min="13063" max="13063" width="15.375" style="1071" customWidth="1"/>
    <col min="13064" max="13064" width="21.875" style="1071" customWidth="1"/>
    <col min="13065" max="13065" width="11" style="1071"/>
    <col min="13066" max="13066" width="11.125" style="1071" customWidth="1"/>
    <col min="13067" max="13067" width="20.75" style="1071" customWidth="1"/>
    <col min="13068" max="13077" width="5" style="1071" customWidth="1"/>
    <col min="13078" max="13078" width="11" style="1071"/>
    <col min="13079" max="13079" width="19.125" style="1071" customWidth="1"/>
    <col min="13080" max="13089" width="6.375" style="1071" customWidth="1"/>
    <col min="13090" max="13090" width="5" style="1071" customWidth="1"/>
    <col min="13091" max="13313" width="11" style="1071"/>
    <col min="13314" max="13314" width="9.5" style="1071" customWidth="1"/>
    <col min="13315" max="13315" width="19" style="1071" customWidth="1"/>
    <col min="13316" max="13316" width="9.25" style="1071" customWidth="1"/>
    <col min="13317" max="13317" width="6" style="1071" customWidth="1"/>
    <col min="13318" max="13318" width="6.75" style="1071" customWidth="1"/>
    <col min="13319" max="13319" width="15.375" style="1071" customWidth="1"/>
    <col min="13320" max="13320" width="21.875" style="1071" customWidth="1"/>
    <col min="13321" max="13321" width="11" style="1071"/>
    <col min="13322" max="13322" width="11.125" style="1071" customWidth="1"/>
    <col min="13323" max="13323" width="20.75" style="1071" customWidth="1"/>
    <col min="13324" max="13333" width="5" style="1071" customWidth="1"/>
    <col min="13334" max="13334" width="11" style="1071"/>
    <col min="13335" max="13335" width="19.125" style="1071" customWidth="1"/>
    <col min="13336" max="13345" width="6.375" style="1071" customWidth="1"/>
    <col min="13346" max="13346" width="5" style="1071" customWidth="1"/>
    <col min="13347" max="13569" width="11" style="1071"/>
    <col min="13570" max="13570" width="9.5" style="1071" customWidth="1"/>
    <col min="13571" max="13571" width="19" style="1071" customWidth="1"/>
    <col min="13572" max="13572" width="9.25" style="1071" customWidth="1"/>
    <col min="13573" max="13573" width="6" style="1071" customWidth="1"/>
    <col min="13574" max="13574" width="6.75" style="1071" customWidth="1"/>
    <col min="13575" max="13575" width="15.375" style="1071" customWidth="1"/>
    <col min="13576" max="13576" width="21.875" style="1071" customWidth="1"/>
    <col min="13577" max="13577" width="11" style="1071"/>
    <col min="13578" max="13578" width="11.125" style="1071" customWidth="1"/>
    <col min="13579" max="13579" width="20.75" style="1071" customWidth="1"/>
    <col min="13580" max="13589" width="5" style="1071" customWidth="1"/>
    <col min="13590" max="13590" width="11" style="1071"/>
    <col min="13591" max="13591" width="19.125" style="1071" customWidth="1"/>
    <col min="13592" max="13601" width="6.375" style="1071" customWidth="1"/>
    <col min="13602" max="13602" width="5" style="1071" customWidth="1"/>
    <col min="13603" max="13825" width="11" style="1071"/>
    <col min="13826" max="13826" width="9.5" style="1071" customWidth="1"/>
    <col min="13827" max="13827" width="19" style="1071" customWidth="1"/>
    <col min="13828" max="13828" width="9.25" style="1071" customWidth="1"/>
    <col min="13829" max="13829" width="6" style="1071" customWidth="1"/>
    <col min="13830" max="13830" width="6.75" style="1071" customWidth="1"/>
    <col min="13831" max="13831" width="15.375" style="1071" customWidth="1"/>
    <col min="13832" max="13832" width="21.875" style="1071" customWidth="1"/>
    <col min="13833" max="13833" width="11" style="1071"/>
    <col min="13834" max="13834" width="11.125" style="1071" customWidth="1"/>
    <col min="13835" max="13835" width="20.75" style="1071" customWidth="1"/>
    <col min="13836" max="13845" width="5" style="1071" customWidth="1"/>
    <col min="13846" max="13846" width="11" style="1071"/>
    <col min="13847" max="13847" width="19.125" style="1071" customWidth="1"/>
    <col min="13848" max="13857" width="6.375" style="1071" customWidth="1"/>
    <col min="13858" max="13858" width="5" style="1071" customWidth="1"/>
    <col min="13859" max="14081" width="11" style="1071"/>
    <col min="14082" max="14082" width="9.5" style="1071" customWidth="1"/>
    <col min="14083" max="14083" width="19" style="1071" customWidth="1"/>
    <col min="14084" max="14084" width="9.25" style="1071" customWidth="1"/>
    <col min="14085" max="14085" width="6" style="1071" customWidth="1"/>
    <col min="14086" max="14086" width="6.75" style="1071" customWidth="1"/>
    <col min="14087" max="14087" width="15.375" style="1071" customWidth="1"/>
    <col min="14088" max="14088" width="21.875" style="1071" customWidth="1"/>
    <col min="14089" max="14089" width="11" style="1071"/>
    <col min="14090" max="14090" width="11.125" style="1071" customWidth="1"/>
    <col min="14091" max="14091" width="20.75" style="1071" customWidth="1"/>
    <col min="14092" max="14101" width="5" style="1071" customWidth="1"/>
    <col min="14102" max="14102" width="11" style="1071"/>
    <col min="14103" max="14103" width="19.125" style="1071" customWidth="1"/>
    <col min="14104" max="14113" width="6.375" style="1071" customWidth="1"/>
    <col min="14114" max="14114" width="5" style="1071" customWidth="1"/>
    <col min="14115" max="14337" width="11" style="1071"/>
    <col min="14338" max="14338" width="9.5" style="1071" customWidth="1"/>
    <col min="14339" max="14339" width="19" style="1071" customWidth="1"/>
    <col min="14340" max="14340" width="9.25" style="1071" customWidth="1"/>
    <col min="14341" max="14341" width="6" style="1071" customWidth="1"/>
    <col min="14342" max="14342" width="6.75" style="1071" customWidth="1"/>
    <col min="14343" max="14343" width="15.375" style="1071" customWidth="1"/>
    <col min="14344" max="14344" width="21.875" style="1071" customWidth="1"/>
    <col min="14345" max="14345" width="11" style="1071"/>
    <col min="14346" max="14346" width="11.125" style="1071" customWidth="1"/>
    <col min="14347" max="14347" width="20.75" style="1071" customWidth="1"/>
    <col min="14348" max="14357" width="5" style="1071" customWidth="1"/>
    <col min="14358" max="14358" width="11" style="1071"/>
    <col min="14359" max="14359" width="19.125" style="1071" customWidth="1"/>
    <col min="14360" max="14369" width="6.375" style="1071" customWidth="1"/>
    <col min="14370" max="14370" width="5" style="1071" customWidth="1"/>
    <col min="14371" max="14593" width="11" style="1071"/>
    <col min="14594" max="14594" width="9.5" style="1071" customWidth="1"/>
    <col min="14595" max="14595" width="19" style="1071" customWidth="1"/>
    <col min="14596" max="14596" width="9.25" style="1071" customWidth="1"/>
    <col min="14597" max="14597" width="6" style="1071" customWidth="1"/>
    <col min="14598" max="14598" width="6.75" style="1071" customWidth="1"/>
    <col min="14599" max="14599" width="15.375" style="1071" customWidth="1"/>
    <col min="14600" max="14600" width="21.875" style="1071" customWidth="1"/>
    <col min="14601" max="14601" width="11" style="1071"/>
    <col min="14602" max="14602" width="11.125" style="1071" customWidth="1"/>
    <col min="14603" max="14603" width="20.75" style="1071" customWidth="1"/>
    <col min="14604" max="14613" width="5" style="1071" customWidth="1"/>
    <col min="14614" max="14614" width="11" style="1071"/>
    <col min="14615" max="14615" width="19.125" style="1071" customWidth="1"/>
    <col min="14616" max="14625" width="6.375" style="1071" customWidth="1"/>
    <col min="14626" max="14626" width="5" style="1071" customWidth="1"/>
    <col min="14627" max="14849" width="11" style="1071"/>
    <col min="14850" max="14850" width="9.5" style="1071" customWidth="1"/>
    <col min="14851" max="14851" width="19" style="1071" customWidth="1"/>
    <col min="14852" max="14852" width="9.25" style="1071" customWidth="1"/>
    <col min="14853" max="14853" width="6" style="1071" customWidth="1"/>
    <col min="14854" max="14854" width="6.75" style="1071" customWidth="1"/>
    <col min="14855" max="14855" width="15.375" style="1071" customWidth="1"/>
    <col min="14856" max="14856" width="21.875" style="1071" customWidth="1"/>
    <col min="14857" max="14857" width="11" style="1071"/>
    <col min="14858" max="14858" width="11.125" style="1071" customWidth="1"/>
    <col min="14859" max="14859" width="20.75" style="1071" customWidth="1"/>
    <col min="14860" max="14869" width="5" style="1071" customWidth="1"/>
    <col min="14870" max="14870" width="11" style="1071"/>
    <col min="14871" max="14871" width="19.125" style="1071" customWidth="1"/>
    <col min="14872" max="14881" width="6.375" style="1071" customWidth="1"/>
    <col min="14882" max="14882" width="5" style="1071" customWidth="1"/>
    <col min="14883" max="15105" width="11" style="1071"/>
    <col min="15106" max="15106" width="9.5" style="1071" customWidth="1"/>
    <col min="15107" max="15107" width="19" style="1071" customWidth="1"/>
    <col min="15108" max="15108" width="9.25" style="1071" customWidth="1"/>
    <col min="15109" max="15109" width="6" style="1071" customWidth="1"/>
    <col min="15110" max="15110" width="6.75" style="1071" customWidth="1"/>
    <col min="15111" max="15111" width="15.375" style="1071" customWidth="1"/>
    <col min="15112" max="15112" width="21.875" style="1071" customWidth="1"/>
    <col min="15113" max="15113" width="11" style="1071"/>
    <col min="15114" max="15114" width="11.125" style="1071" customWidth="1"/>
    <col min="15115" max="15115" width="20.75" style="1071" customWidth="1"/>
    <col min="15116" max="15125" width="5" style="1071" customWidth="1"/>
    <col min="15126" max="15126" width="11" style="1071"/>
    <col min="15127" max="15127" width="19.125" style="1071" customWidth="1"/>
    <col min="15128" max="15137" width="6.375" style="1071" customWidth="1"/>
    <col min="15138" max="15138" width="5" style="1071" customWidth="1"/>
    <col min="15139" max="15361" width="11" style="1071"/>
    <col min="15362" max="15362" width="9.5" style="1071" customWidth="1"/>
    <col min="15363" max="15363" width="19" style="1071" customWidth="1"/>
    <col min="15364" max="15364" width="9.25" style="1071" customWidth="1"/>
    <col min="15365" max="15365" width="6" style="1071" customWidth="1"/>
    <col min="15366" max="15366" width="6.75" style="1071" customWidth="1"/>
    <col min="15367" max="15367" width="15.375" style="1071" customWidth="1"/>
    <col min="15368" max="15368" width="21.875" style="1071" customWidth="1"/>
    <col min="15369" max="15369" width="11" style="1071"/>
    <col min="15370" max="15370" width="11.125" style="1071" customWidth="1"/>
    <col min="15371" max="15371" width="20.75" style="1071" customWidth="1"/>
    <col min="15372" max="15381" width="5" style="1071" customWidth="1"/>
    <col min="15382" max="15382" width="11" style="1071"/>
    <col min="15383" max="15383" width="19.125" style="1071" customWidth="1"/>
    <col min="15384" max="15393" width="6.375" style="1071" customWidth="1"/>
    <col min="15394" max="15394" width="5" style="1071" customWidth="1"/>
    <col min="15395" max="15617" width="11" style="1071"/>
    <col min="15618" max="15618" width="9.5" style="1071" customWidth="1"/>
    <col min="15619" max="15619" width="19" style="1071" customWidth="1"/>
    <col min="15620" max="15620" width="9.25" style="1071" customWidth="1"/>
    <col min="15621" max="15621" width="6" style="1071" customWidth="1"/>
    <col min="15622" max="15622" width="6.75" style="1071" customWidth="1"/>
    <col min="15623" max="15623" width="15.375" style="1071" customWidth="1"/>
    <col min="15624" max="15624" width="21.875" style="1071" customWidth="1"/>
    <col min="15625" max="15625" width="11" style="1071"/>
    <col min="15626" max="15626" width="11.125" style="1071" customWidth="1"/>
    <col min="15627" max="15627" width="20.75" style="1071" customWidth="1"/>
    <col min="15628" max="15637" width="5" style="1071" customWidth="1"/>
    <col min="15638" max="15638" width="11" style="1071"/>
    <col min="15639" max="15639" width="19.125" style="1071" customWidth="1"/>
    <col min="15640" max="15649" width="6.375" style="1071" customWidth="1"/>
    <col min="15650" max="15650" width="5" style="1071" customWidth="1"/>
    <col min="15651" max="15873" width="11" style="1071"/>
    <col min="15874" max="15874" width="9.5" style="1071" customWidth="1"/>
    <col min="15875" max="15875" width="19" style="1071" customWidth="1"/>
    <col min="15876" max="15876" width="9.25" style="1071" customWidth="1"/>
    <col min="15877" max="15877" width="6" style="1071" customWidth="1"/>
    <col min="15878" max="15878" width="6.75" style="1071" customWidth="1"/>
    <col min="15879" max="15879" width="15.375" style="1071" customWidth="1"/>
    <col min="15880" max="15880" width="21.875" style="1071" customWidth="1"/>
    <col min="15881" max="15881" width="11" style="1071"/>
    <col min="15882" max="15882" width="11.125" style="1071" customWidth="1"/>
    <col min="15883" max="15883" width="20.75" style="1071" customWidth="1"/>
    <col min="15884" max="15893" width="5" style="1071" customWidth="1"/>
    <col min="15894" max="15894" width="11" style="1071"/>
    <col min="15895" max="15895" width="19.125" style="1071" customWidth="1"/>
    <col min="15896" max="15905" width="6.375" style="1071" customWidth="1"/>
    <col min="15906" max="15906" width="5" style="1071" customWidth="1"/>
    <col min="15907" max="16129" width="11" style="1071"/>
    <col min="16130" max="16130" width="9.5" style="1071" customWidth="1"/>
    <col min="16131" max="16131" width="19" style="1071" customWidth="1"/>
    <col min="16132" max="16132" width="9.25" style="1071" customWidth="1"/>
    <col min="16133" max="16133" width="6" style="1071" customWidth="1"/>
    <col min="16134" max="16134" width="6.75" style="1071" customWidth="1"/>
    <col min="16135" max="16135" width="15.375" style="1071" customWidth="1"/>
    <col min="16136" max="16136" width="21.875" style="1071" customWidth="1"/>
    <col min="16137" max="16137" width="11" style="1071"/>
    <col min="16138" max="16138" width="11.125" style="1071" customWidth="1"/>
    <col min="16139" max="16139" width="20.75" style="1071" customWidth="1"/>
    <col min="16140" max="16149" width="5" style="1071" customWidth="1"/>
    <col min="16150" max="16150" width="11" style="1071"/>
    <col min="16151" max="16151" width="19.125" style="1071" customWidth="1"/>
    <col min="16152" max="16161" width="6.375" style="1071" customWidth="1"/>
    <col min="16162" max="16162" width="5" style="1071" customWidth="1"/>
    <col min="16163" max="16384" width="11" style="1071"/>
  </cols>
  <sheetData>
    <row r="1" spans="1:36" x14ac:dyDescent="0.25">
      <c r="A1" s="1306"/>
      <c r="B1" s="1306"/>
      <c r="C1" s="1306"/>
      <c r="D1" s="1306"/>
      <c r="E1" s="1306"/>
      <c r="F1" s="1306"/>
      <c r="G1" s="1306"/>
      <c r="H1" s="1306"/>
      <c r="I1" s="1306"/>
      <c r="J1" s="1307"/>
      <c r="K1" s="1307"/>
      <c r="L1" s="1665" t="s">
        <v>589</v>
      </c>
      <c r="M1" s="1666"/>
      <c r="N1" s="1666"/>
      <c r="O1" s="1666"/>
      <c r="P1" s="1666"/>
      <c r="Q1" s="1666"/>
      <c r="R1" s="1666"/>
      <c r="S1" s="1666"/>
      <c r="T1" s="1666"/>
      <c r="U1" s="1666"/>
      <c r="V1" s="1306"/>
      <c r="W1" s="1665" t="s">
        <v>934</v>
      </c>
      <c r="X1" s="1665"/>
      <c r="Y1" s="1665"/>
      <c r="Z1" s="1665"/>
      <c r="AA1" s="1665"/>
      <c r="AB1" s="1665"/>
      <c r="AC1" s="1665"/>
      <c r="AD1" s="1665"/>
      <c r="AE1" s="1665"/>
      <c r="AF1" s="1665"/>
      <c r="AG1" s="1665"/>
      <c r="AH1" s="1665"/>
      <c r="AI1" s="1306"/>
      <c r="AJ1" s="1306"/>
    </row>
    <row r="2" spans="1:36" x14ac:dyDescent="0.25">
      <c r="A2" s="1306"/>
      <c r="B2" s="1667" t="s">
        <v>958</v>
      </c>
      <c r="C2" s="1667"/>
      <c r="D2" s="1667"/>
      <c r="E2" s="1667"/>
      <c r="F2" s="1667"/>
      <c r="G2" s="1667"/>
      <c r="H2" s="1667"/>
      <c r="I2" s="1306"/>
      <c r="J2" s="1307"/>
      <c r="K2" s="1307"/>
      <c r="L2" s="1666"/>
      <c r="M2" s="1666"/>
      <c r="N2" s="1666"/>
      <c r="O2" s="1666"/>
      <c r="P2" s="1666"/>
      <c r="Q2" s="1666"/>
      <c r="R2" s="1666"/>
      <c r="S2" s="1666"/>
      <c r="T2" s="1666"/>
      <c r="U2" s="1666"/>
      <c r="V2" s="1306"/>
      <c r="W2" s="1308"/>
      <c r="X2" s="1309"/>
      <c r="Y2" s="1309"/>
      <c r="Z2" s="1309"/>
      <c r="AA2" s="1309"/>
      <c r="AB2" s="1309"/>
      <c r="AC2" s="1309"/>
      <c r="AD2" s="1309"/>
      <c r="AE2" s="1309"/>
      <c r="AF2" s="1309"/>
      <c r="AG2" s="1309"/>
      <c r="AH2" s="1309"/>
      <c r="AI2" s="1306"/>
      <c r="AJ2" s="1306"/>
    </row>
    <row r="3" spans="1:36" ht="16.5" thickBot="1" x14ac:dyDescent="0.3">
      <c r="A3" s="1306"/>
      <c r="B3" s="1306"/>
      <c r="C3" s="1306"/>
      <c r="D3" s="1306"/>
      <c r="E3" s="1306"/>
      <c r="F3" s="1306"/>
      <c r="G3" s="1306"/>
      <c r="H3" s="1306"/>
      <c r="I3" s="1306"/>
      <c r="J3" s="1307"/>
      <c r="K3" s="1307"/>
      <c r="L3" s="1307"/>
      <c r="M3" s="1307"/>
      <c r="N3" s="1307"/>
      <c r="O3" s="1307"/>
      <c r="P3" s="1307"/>
      <c r="Q3" s="1307"/>
      <c r="R3" s="1307"/>
      <c r="S3" s="1307"/>
      <c r="T3" s="1307"/>
      <c r="U3" s="1307"/>
      <c r="V3" s="1306"/>
      <c r="W3" s="1668" t="s">
        <v>590</v>
      </c>
      <c r="X3" s="1668"/>
      <c r="Y3" s="1668"/>
      <c r="Z3" s="1668"/>
      <c r="AA3" s="1668"/>
      <c r="AB3" s="1668"/>
      <c r="AC3" s="1668"/>
      <c r="AD3" s="1668"/>
      <c r="AE3" s="1668"/>
      <c r="AF3" s="1668"/>
      <c r="AG3" s="1668"/>
      <c r="AH3" s="1668"/>
      <c r="AI3" s="1306"/>
    </row>
    <row r="4" spans="1:36" ht="16.5" thickBot="1" x14ac:dyDescent="0.3">
      <c r="B4" s="1669" t="s">
        <v>591</v>
      </c>
      <c r="C4" s="1670"/>
      <c r="D4" s="1670"/>
      <c r="E4" s="1670"/>
      <c r="F4" s="1670"/>
      <c r="G4" s="1670"/>
      <c r="H4" s="1671"/>
      <c r="J4" s="1073"/>
      <c r="K4" s="1074" t="s">
        <v>592</v>
      </c>
      <c r="L4" s="1672" t="s">
        <v>567</v>
      </c>
      <c r="M4" s="1673"/>
      <c r="N4" s="1672" t="s">
        <v>568</v>
      </c>
      <c r="O4" s="1673"/>
      <c r="P4" s="1672" t="s">
        <v>569</v>
      </c>
      <c r="Q4" s="1673"/>
      <c r="R4" s="1672" t="s">
        <v>556</v>
      </c>
      <c r="S4" s="1673"/>
      <c r="T4" s="1672" t="s">
        <v>570</v>
      </c>
      <c r="U4" s="1673"/>
      <c r="W4" s="1307"/>
      <c r="X4" s="1307"/>
      <c r="Y4" s="1307"/>
      <c r="Z4" s="1307"/>
      <c r="AA4" s="1307"/>
      <c r="AB4" s="1307"/>
      <c r="AC4" s="1307"/>
      <c r="AD4" s="1307"/>
      <c r="AE4" s="1307"/>
      <c r="AF4" s="1307"/>
      <c r="AG4" s="1307"/>
      <c r="AH4" s="1307"/>
      <c r="AI4" s="1306"/>
    </row>
    <row r="5" spans="1:36" x14ac:dyDescent="0.25">
      <c r="A5" s="1306"/>
      <c r="B5" s="1310"/>
      <c r="C5" s="1310"/>
      <c r="D5" s="1310"/>
      <c r="E5" s="1680" t="s">
        <v>593</v>
      </c>
      <c r="F5" s="1680"/>
      <c r="G5" s="1680"/>
      <c r="H5" s="1680"/>
      <c r="I5" s="1306"/>
      <c r="J5" s="1681" t="s">
        <v>594</v>
      </c>
      <c r="K5" s="1311" t="s">
        <v>595</v>
      </c>
      <c r="L5" s="1312" t="s">
        <v>596</v>
      </c>
      <c r="M5" s="1313"/>
      <c r="N5" s="1312"/>
      <c r="O5" s="1313"/>
      <c r="P5" s="1312"/>
      <c r="Q5" s="1313"/>
      <c r="R5" s="1312"/>
      <c r="S5" s="1313"/>
      <c r="T5" s="1312"/>
      <c r="U5" s="1313"/>
      <c r="V5" s="1306"/>
      <c r="W5" s="1314" t="s">
        <v>592</v>
      </c>
      <c r="X5" s="1674" t="s">
        <v>567</v>
      </c>
      <c r="Y5" s="1675"/>
      <c r="Z5" s="1674" t="s">
        <v>568</v>
      </c>
      <c r="AA5" s="1675"/>
      <c r="AB5" s="1674" t="s">
        <v>569</v>
      </c>
      <c r="AC5" s="1675"/>
      <c r="AD5" s="1674" t="s">
        <v>556</v>
      </c>
      <c r="AE5" s="1675"/>
      <c r="AF5" s="1674" t="s">
        <v>570</v>
      </c>
      <c r="AG5" s="1675"/>
      <c r="AH5" s="1315"/>
      <c r="AI5" s="1306"/>
    </row>
    <row r="6" spans="1:36" x14ac:dyDescent="0.25">
      <c r="A6" s="1306"/>
      <c r="B6" s="1676" t="s">
        <v>597</v>
      </c>
      <c r="C6" s="1677"/>
      <c r="D6" s="1306"/>
      <c r="E6" s="1676" t="s">
        <v>598</v>
      </c>
      <c r="F6" s="1678"/>
      <c r="G6" s="1678"/>
      <c r="H6" s="1677"/>
      <c r="I6" s="1306"/>
      <c r="J6" s="1682"/>
      <c r="K6" s="1311" t="s">
        <v>599</v>
      </c>
      <c r="L6" s="1312" t="s">
        <v>600</v>
      </c>
      <c r="M6" s="1313"/>
      <c r="N6" s="1312"/>
      <c r="O6" s="1313"/>
      <c r="P6" s="1312"/>
      <c r="Q6" s="1313"/>
      <c r="R6" s="1312"/>
      <c r="S6" s="1313"/>
      <c r="T6" s="1312"/>
      <c r="U6" s="1313"/>
      <c r="V6" s="1306"/>
      <c r="W6" s="1311"/>
      <c r="X6" s="1316">
        <v>0.27083333333333331</v>
      </c>
      <c r="Y6" s="1317">
        <v>0.54166666666666663</v>
      </c>
      <c r="Z6" s="1316">
        <v>0.27083333333333331</v>
      </c>
      <c r="AA6" s="1317">
        <v>0.54166666666666663</v>
      </c>
      <c r="AB6" s="1316">
        <v>0.27083333333333331</v>
      </c>
      <c r="AC6" s="1317">
        <v>0.54166666666666663</v>
      </c>
      <c r="AD6" s="1316">
        <v>0.27083333333333331</v>
      </c>
      <c r="AE6" s="1317">
        <v>0.54166666666666663</v>
      </c>
      <c r="AF6" s="1316">
        <v>0.27083333333333331</v>
      </c>
      <c r="AG6" s="1317">
        <v>0.54166666666666663</v>
      </c>
      <c r="AH6" s="1311" t="s">
        <v>601</v>
      </c>
      <c r="AI6" s="1306"/>
    </row>
    <row r="7" spans="1:36" x14ac:dyDescent="0.25">
      <c r="A7" s="1306"/>
      <c r="B7" s="1318"/>
      <c r="C7" s="1318"/>
      <c r="D7" s="1306"/>
      <c r="E7" s="1679"/>
      <c r="F7" s="1679"/>
      <c r="G7" s="1679"/>
      <c r="H7" s="1318"/>
      <c r="I7" s="1306"/>
      <c r="J7" s="1307"/>
      <c r="K7" s="1307"/>
      <c r="L7" s="1307"/>
      <c r="M7" s="1307"/>
      <c r="N7" s="1307"/>
      <c r="O7" s="1307"/>
      <c r="P7" s="1307"/>
      <c r="Q7" s="1307"/>
      <c r="R7" s="1307"/>
      <c r="S7" s="1307"/>
      <c r="T7" s="1307"/>
      <c r="U7" s="1307"/>
      <c r="V7" s="1306"/>
      <c r="W7" s="1311"/>
      <c r="X7" s="1316">
        <v>0.27083333333333331</v>
      </c>
      <c r="Y7" s="1317">
        <v>0.54166666666666663</v>
      </c>
      <c r="Z7" s="1316">
        <v>0.27083333333333331</v>
      </c>
      <c r="AA7" s="1317">
        <v>0.54166666666666663</v>
      </c>
      <c r="AB7" s="1316">
        <v>0.27083333333333331</v>
      </c>
      <c r="AC7" s="1317">
        <v>0.54166666666666663</v>
      </c>
      <c r="AD7" s="1316">
        <v>0.27083333333333331</v>
      </c>
      <c r="AE7" s="1317">
        <v>0.54166666666666663</v>
      </c>
      <c r="AF7" s="1316">
        <v>0.27083333333333331</v>
      </c>
      <c r="AG7" s="1317">
        <v>0.54166666666666663</v>
      </c>
      <c r="AH7" s="1311" t="s">
        <v>601</v>
      </c>
      <c r="AI7" s="1306"/>
    </row>
    <row r="8" spans="1:36" x14ac:dyDescent="0.25">
      <c r="A8" s="1306"/>
      <c r="B8" s="1676" t="s">
        <v>602</v>
      </c>
      <c r="C8" s="1677"/>
      <c r="D8" s="1306"/>
      <c r="E8" s="1676" t="s">
        <v>603</v>
      </c>
      <c r="F8" s="1678"/>
      <c r="G8" s="1678"/>
      <c r="H8" s="1677"/>
      <c r="I8" s="1306"/>
      <c r="J8" s="1307"/>
      <c r="K8" s="1314" t="s">
        <v>604</v>
      </c>
      <c r="L8" s="1674" t="s">
        <v>567</v>
      </c>
      <c r="M8" s="1675"/>
      <c r="N8" s="1674" t="s">
        <v>568</v>
      </c>
      <c r="O8" s="1675"/>
      <c r="P8" s="1674" t="s">
        <v>569</v>
      </c>
      <c r="Q8" s="1675"/>
      <c r="R8" s="1674" t="s">
        <v>556</v>
      </c>
      <c r="S8" s="1675"/>
      <c r="T8" s="1674" t="s">
        <v>570</v>
      </c>
      <c r="U8" s="1675"/>
      <c r="V8" s="1306"/>
      <c r="W8" s="1311"/>
      <c r="X8" s="1316">
        <v>0.27083333333333331</v>
      </c>
      <c r="Y8" s="1317">
        <v>0.54166666666666663</v>
      </c>
      <c r="Z8" s="1316">
        <v>0.27083333333333331</v>
      </c>
      <c r="AA8" s="1317">
        <v>0.54166666666666663</v>
      </c>
      <c r="AB8" s="1316">
        <v>0.27083333333333331</v>
      </c>
      <c r="AC8" s="1317">
        <v>0.54166666666666663</v>
      </c>
      <c r="AD8" s="1316">
        <v>0.27083333333333331</v>
      </c>
      <c r="AE8" s="1317">
        <v>0.54166666666666663</v>
      </c>
      <c r="AF8" s="1316">
        <v>0.27083333333333331</v>
      </c>
      <c r="AG8" s="1317">
        <v>0.54166666666666663</v>
      </c>
      <c r="AH8" s="1311" t="s">
        <v>601</v>
      </c>
      <c r="AI8" s="1306"/>
    </row>
    <row r="9" spans="1:36" x14ac:dyDescent="0.25">
      <c r="A9" s="1306"/>
      <c r="B9" s="1306"/>
      <c r="C9" s="1306"/>
      <c r="D9" s="1306"/>
      <c r="E9" s="1679"/>
      <c r="F9" s="1679"/>
      <c r="G9" s="1679"/>
      <c r="H9" s="1318"/>
      <c r="I9" s="1306"/>
      <c r="J9" s="1681" t="s">
        <v>605</v>
      </c>
      <c r="K9" s="1311" t="s">
        <v>595</v>
      </c>
      <c r="L9" s="1312">
        <v>0.33333333333333331</v>
      </c>
      <c r="M9" s="1313"/>
      <c r="N9" s="1312"/>
      <c r="O9" s="1313"/>
      <c r="P9" s="1312"/>
      <c r="Q9" s="1313"/>
      <c r="R9" s="1312"/>
      <c r="S9" s="1313"/>
      <c r="T9" s="1312"/>
      <c r="U9" s="1313"/>
      <c r="V9" s="1306"/>
      <c r="W9" s="1311"/>
      <c r="X9" s="1316">
        <v>0.29166666666666669</v>
      </c>
      <c r="Y9" s="1317">
        <v>0.5625</v>
      </c>
      <c r="Z9" s="1316">
        <v>0.29166666666666669</v>
      </c>
      <c r="AA9" s="1317">
        <v>0.5625</v>
      </c>
      <c r="AB9" s="1316">
        <v>0.29166666666666669</v>
      </c>
      <c r="AC9" s="1317">
        <v>0.5625</v>
      </c>
      <c r="AD9" s="1316">
        <v>0.29166666666666669</v>
      </c>
      <c r="AE9" s="1317">
        <v>0.5625</v>
      </c>
      <c r="AF9" s="1316">
        <v>0.29166666666666669</v>
      </c>
      <c r="AG9" s="1317">
        <v>0.5625</v>
      </c>
      <c r="AH9" s="1311" t="s">
        <v>601</v>
      </c>
      <c r="AI9" s="1306"/>
    </row>
    <row r="10" spans="1:36" x14ac:dyDescent="0.25">
      <c r="A10" s="1306"/>
      <c r="B10" s="1676" t="s">
        <v>606</v>
      </c>
      <c r="C10" s="1677"/>
      <c r="D10" s="1306"/>
      <c r="E10" s="1676" t="s">
        <v>603</v>
      </c>
      <c r="F10" s="1678"/>
      <c r="G10" s="1678"/>
      <c r="H10" s="1677"/>
      <c r="I10" s="1306"/>
      <c r="J10" s="1682"/>
      <c r="K10" s="1311" t="s">
        <v>599</v>
      </c>
      <c r="L10" s="1312">
        <v>0.65833333333333333</v>
      </c>
      <c r="M10" s="1313"/>
      <c r="N10" s="1312"/>
      <c r="O10" s="1313"/>
      <c r="P10" s="1312"/>
      <c r="Q10" s="1313"/>
      <c r="R10" s="1312"/>
      <c r="S10" s="1313"/>
      <c r="T10" s="1312"/>
      <c r="U10" s="1313"/>
      <c r="V10" s="1306"/>
      <c r="W10" s="1319"/>
      <c r="X10" s="1316">
        <v>0.29166666666666669</v>
      </c>
      <c r="Y10" s="1317">
        <v>0.5625</v>
      </c>
      <c r="Z10" s="1316">
        <v>0.29166666666666669</v>
      </c>
      <c r="AA10" s="1317">
        <v>0.5625</v>
      </c>
      <c r="AB10" s="1316">
        <v>0.29166666666666669</v>
      </c>
      <c r="AC10" s="1317">
        <v>0.5625</v>
      </c>
      <c r="AD10" s="1316">
        <v>0.29166666666666669</v>
      </c>
      <c r="AE10" s="1317">
        <v>0.5625</v>
      </c>
      <c r="AF10" s="1316">
        <v>0.29166666666666669</v>
      </c>
      <c r="AG10" s="1317">
        <v>0.5625</v>
      </c>
      <c r="AH10" s="1311" t="s">
        <v>601</v>
      </c>
      <c r="AI10" s="1306"/>
    </row>
    <row r="11" spans="1:36" x14ac:dyDescent="0.25">
      <c r="A11" s="1306"/>
      <c r="B11" s="1306"/>
      <c r="C11" s="1306"/>
      <c r="D11" s="1306"/>
      <c r="E11" s="1318"/>
      <c r="F11" s="1318"/>
      <c r="G11" s="1318"/>
      <c r="H11" s="1318"/>
      <c r="I11" s="1306"/>
      <c r="J11" s="1307"/>
      <c r="K11" s="1307"/>
      <c r="L11" s="1307"/>
      <c r="M11" s="1307"/>
      <c r="N11" s="1307"/>
      <c r="O11" s="1307"/>
      <c r="P11" s="1307"/>
      <c r="Q11" s="1307"/>
      <c r="R11" s="1307"/>
      <c r="S11" s="1307"/>
      <c r="T11" s="1307"/>
      <c r="U11" s="1307"/>
      <c r="V11" s="1306"/>
      <c r="W11" s="1307"/>
      <c r="X11" s="1307"/>
      <c r="Y11" s="1307"/>
      <c r="Z11" s="1307"/>
      <c r="AA11" s="1307"/>
      <c r="AB11" s="1307"/>
      <c r="AC11" s="1307"/>
      <c r="AD11" s="1307"/>
      <c r="AE11" s="1307"/>
      <c r="AF11" s="1307"/>
      <c r="AG11" s="1307"/>
      <c r="AH11" s="1307"/>
      <c r="AI11" s="1306"/>
    </row>
    <row r="12" spans="1:36" x14ac:dyDescent="0.25">
      <c r="A12" s="1306"/>
      <c r="B12" s="1676" t="s">
        <v>607</v>
      </c>
      <c r="C12" s="1677"/>
      <c r="D12" s="1306"/>
      <c r="E12" s="1676" t="s">
        <v>608</v>
      </c>
      <c r="F12" s="1678"/>
      <c r="G12" s="1678"/>
      <c r="H12" s="1677"/>
      <c r="I12" s="1306"/>
      <c r="J12" s="1307"/>
      <c r="K12" s="1314" t="s">
        <v>609</v>
      </c>
      <c r="L12" s="1674" t="s">
        <v>567</v>
      </c>
      <c r="M12" s="1675"/>
      <c r="N12" s="1674" t="s">
        <v>568</v>
      </c>
      <c r="O12" s="1675"/>
      <c r="P12" s="1674" t="s">
        <v>569</v>
      </c>
      <c r="Q12" s="1675"/>
      <c r="R12" s="1674" t="s">
        <v>556</v>
      </c>
      <c r="S12" s="1675"/>
      <c r="T12" s="1674" t="s">
        <v>570</v>
      </c>
      <c r="U12" s="1675"/>
      <c r="V12" s="1306"/>
      <c r="W12" s="1314" t="s">
        <v>604</v>
      </c>
      <c r="X12" s="1674" t="s">
        <v>567</v>
      </c>
      <c r="Y12" s="1675"/>
      <c r="Z12" s="1674" t="s">
        <v>568</v>
      </c>
      <c r="AA12" s="1675"/>
      <c r="AB12" s="1674" t="s">
        <v>569</v>
      </c>
      <c r="AC12" s="1675"/>
      <c r="AD12" s="1674" t="s">
        <v>556</v>
      </c>
      <c r="AE12" s="1675"/>
      <c r="AF12" s="1674" t="s">
        <v>570</v>
      </c>
      <c r="AG12" s="1675"/>
      <c r="AH12" s="1315"/>
      <c r="AI12" s="1306"/>
    </row>
    <row r="13" spans="1:36" x14ac:dyDescent="0.25">
      <c r="A13" s="1306"/>
      <c r="B13" s="1306"/>
      <c r="C13" s="1306"/>
      <c r="D13" s="1306"/>
      <c r="E13" s="1679"/>
      <c r="F13" s="1679"/>
      <c r="G13" s="1679"/>
      <c r="H13" s="1318"/>
      <c r="I13" s="1306"/>
      <c r="J13" s="1681" t="s">
        <v>594</v>
      </c>
      <c r="K13" s="1311" t="s">
        <v>595</v>
      </c>
      <c r="L13" s="1312" t="s">
        <v>610</v>
      </c>
      <c r="M13" s="1313"/>
      <c r="N13" s="1312"/>
      <c r="O13" s="1313"/>
      <c r="P13" s="1312"/>
      <c r="Q13" s="1313"/>
      <c r="R13" s="1312"/>
      <c r="S13" s="1313"/>
      <c r="T13" s="1312"/>
      <c r="U13" s="1313"/>
      <c r="V13" s="1306"/>
      <c r="W13" s="1311" t="s">
        <v>720</v>
      </c>
      <c r="X13" s="1316">
        <v>0.33333333333333331</v>
      </c>
      <c r="Y13" s="1317">
        <v>0.60416666666666663</v>
      </c>
      <c r="Z13" s="1316">
        <v>0.33333333333333331</v>
      </c>
      <c r="AA13" s="1317">
        <v>0.60416666666666663</v>
      </c>
      <c r="AB13" s="1316">
        <v>0.33333333333333331</v>
      </c>
      <c r="AC13" s="1317">
        <v>0.60416666666666663</v>
      </c>
      <c r="AD13" s="1316">
        <v>0.33333333333333331</v>
      </c>
      <c r="AE13" s="1317">
        <v>0.60416666666666663</v>
      </c>
      <c r="AF13" s="1316">
        <v>0.33333333333333331</v>
      </c>
      <c r="AG13" s="1317">
        <v>0.60416666666666663</v>
      </c>
      <c r="AH13" s="1311" t="s">
        <v>601</v>
      </c>
      <c r="AI13" s="1306"/>
    </row>
    <row r="14" spans="1:36" x14ac:dyDescent="0.25">
      <c r="A14" s="1306"/>
      <c r="B14" s="1676" t="s">
        <v>554</v>
      </c>
      <c r="C14" s="1677"/>
      <c r="D14" s="1306"/>
      <c r="E14" s="1676" t="s">
        <v>608</v>
      </c>
      <c r="F14" s="1678"/>
      <c r="G14" s="1678"/>
      <c r="H14" s="1677"/>
      <c r="I14" s="1306"/>
      <c r="J14" s="1682"/>
      <c r="K14" s="1311" t="s">
        <v>599</v>
      </c>
      <c r="L14" s="1312" t="s">
        <v>611</v>
      </c>
      <c r="M14" s="1313"/>
      <c r="N14" s="1312"/>
      <c r="O14" s="1313"/>
      <c r="P14" s="1312"/>
      <c r="Q14" s="1313"/>
      <c r="R14" s="1312"/>
      <c r="S14" s="1313"/>
      <c r="T14" s="1312"/>
      <c r="U14" s="1313"/>
      <c r="V14" s="1306"/>
      <c r="W14" s="1307"/>
      <c r="X14" s="1307"/>
      <c r="Y14" s="1307"/>
      <c r="Z14" s="1307"/>
      <c r="AA14" s="1307"/>
      <c r="AB14" s="1307"/>
      <c r="AC14" s="1307"/>
      <c r="AD14" s="1307"/>
      <c r="AE14" s="1307"/>
      <c r="AF14" s="1307"/>
      <c r="AG14" s="1307"/>
      <c r="AH14" s="1307"/>
      <c r="AI14" s="1306"/>
    </row>
    <row r="15" spans="1:36" x14ac:dyDescent="0.25">
      <c r="A15" s="1306"/>
      <c r="B15" s="1306"/>
      <c r="C15" s="1306"/>
      <c r="D15" s="1306"/>
      <c r="E15" s="1679"/>
      <c r="F15" s="1679"/>
      <c r="G15" s="1679"/>
      <c r="H15" s="1318"/>
      <c r="I15" s="1306"/>
      <c r="J15" s="1307"/>
      <c r="K15" s="1307"/>
      <c r="L15" s="1320"/>
      <c r="M15" s="1320"/>
      <c r="N15" s="1320"/>
      <c r="O15" s="1321"/>
      <c r="P15" s="1321"/>
      <c r="Q15" s="1320"/>
      <c r="R15" s="1320"/>
      <c r="S15" s="1320"/>
      <c r="T15" s="1320"/>
      <c r="U15" s="1320"/>
      <c r="V15" s="1306"/>
      <c r="W15" s="1314" t="s">
        <v>609</v>
      </c>
      <c r="X15" s="1674" t="s">
        <v>567</v>
      </c>
      <c r="Y15" s="1675"/>
      <c r="Z15" s="1674" t="s">
        <v>568</v>
      </c>
      <c r="AA15" s="1675"/>
      <c r="AB15" s="1674" t="s">
        <v>569</v>
      </c>
      <c r="AC15" s="1675"/>
      <c r="AD15" s="1674" t="s">
        <v>556</v>
      </c>
      <c r="AE15" s="1675"/>
      <c r="AF15" s="1674" t="s">
        <v>570</v>
      </c>
      <c r="AG15" s="1675"/>
      <c r="AH15" s="1315"/>
      <c r="AI15" s="1306"/>
    </row>
    <row r="16" spans="1:36" x14ac:dyDescent="0.25">
      <c r="A16" s="1306"/>
      <c r="B16" s="1676" t="s">
        <v>552</v>
      </c>
      <c r="C16" s="1677"/>
      <c r="D16" s="1306"/>
      <c r="E16" s="1676" t="s">
        <v>612</v>
      </c>
      <c r="F16" s="1678"/>
      <c r="G16" s="1678"/>
      <c r="H16" s="1677"/>
      <c r="I16" s="1306"/>
      <c r="J16" s="1307"/>
      <c r="K16" s="1314" t="s">
        <v>613</v>
      </c>
      <c r="L16" s="1674" t="s">
        <v>567</v>
      </c>
      <c r="M16" s="1675"/>
      <c r="N16" s="1674" t="s">
        <v>568</v>
      </c>
      <c r="O16" s="1675"/>
      <c r="P16" s="1674" t="s">
        <v>569</v>
      </c>
      <c r="Q16" s="1675"/>
      <c r="R16" s="1674" t="s">
        <v>556</v>
      </c>
      <c r="S16" s="1675"/>
      <c r="T16" s="1674" t="s">
        <v>570</v>
      </c>
      <c r="U16" s="1675"/>
      <c r="V16" s="1306"/>
      <c r="W16" s="1311" t="s">
        <v>935</v>
      </c>
      <c r="X16" s="1316">
        <v>0.33333333333333331</v>
      </c>
      <c r="Y16" s="1317">
        <v>0.60416666666666663</v>
      </c>
      <c r="Z16" s="1316">
        <v>0.33333333333333331</v>
      </c>
      <c r="AA16" s="1317">
        <v>0.60416666666666663</v>
      </c>
      <c r="AB16" s="1316">
        <v>0.33333333333333331</v>
      </c>
      <c r="AC16" s="1317">
        <v>0.60416666666666663</v>
      </c>
      <c r="AD16" s="1316">
        <v>0.33333333333333331</v>
      </c>
      <c r="AE16" s="1317">
        <v>0.60416666666666663</v>
      </c>
      <c r="AF16" s="1316">
        <v>0.33333333333333331</v>
      </c>
      <c r="AG16" s="1317">
        <v>0.60416666666666663</v>
      </c>
      <c r="AH16" s="1311" t="s">
        <v>601</v>
      </c>
      <c r="AI16" s="1306"/>
    </row>
    <row r="17" spans="1:35" x14ac:dyDescent="0.25">
      <c r="A17" s="1306"/>
      <c r="B17" s="1306"/>
      <c r="C17" s="1306"/>
      <c r="D17" s="1306"/>
      <c r="E17" s="1679"/>
      <c r="F17" s="1679"/>
      <c r="G17" s="1679"/>
      <c r="H17" s="1318"/>
      <c r="I17" s="1306"/>
      <c r="J17" s="1681" t="s">
        <v>614</v>
      </c>
      <c r="K17" s="1311" t="s">
        <v>595</v>
      </c>
      <c r="L17" s="1312" t="s">
        <v>596</v>
      </c>
      <c r="M17" s="1313"/>
      <c r="N17" s="1312"/>
      <c r="O17" s="1313"/>
      <c r="P17" s="1312"/>
      <c r="Q17" s="1313"/>
      <c r="R17" s="1312"/>
      <c r="S17" s="1313"/>
      <c r="T17" s="1312"/>
      <c r="U17" s="1313"/>
      <c r="V17" s="1306"/>
      <c r="W17" s="1311" t="s">
        <v>936</v>
      </c>
      <c r="X17" s="1316">
        <v>0.33333333333333331</v>
      </c>
      <c r="Y17" s="1317">
        <v>0.60416666666666663</v>
      </c>
      <c r="Z17" s="1316">
        <v>0.33333333333333331</v>
      </c>
      <c r="AA17" s="1317">
        <v>0.60416666666666663</v>
      </c>
      <c r="AB17" s="1316">
        <v>0.33333333333333331</v>
      </c>
      <c r="AC17" s="1317">
        <v>0.60416666666666663</v>
      </c>
      <c r="AD17" s="1316">
        <v>0.33333333333333331</v>
      </c>
      <c r="AE17" s="1317">
        <v>0.60416666666666663</v>
      </c>
      <c r="AF17" s="1316">
        <v>0.33333333333333331</v>
      </c>
      <c r="AG17" s="1317">
        <v>0.60416666666666663</v>
      </c>
      <c r="AH17" s="1311" t="s">
        <v>601</v>
      </c>
      <c r="AI17" s="1306"/>
    </row>
    <row r="18" spans="1:35" x14ac:dyDescent="0.25">
      <c r="A18" s="1306"/>
      <c r="B18" s="1676" t="s">
        <v>615</v>
      </c>
      <c r="C18" s="1677"/>
      <c r="D18" s="1306"/>
      <c r="E18" s="1676" t="s">
        <v>598</v>
      </c>
      <c r="F18" s="1678"/>
      <c r="G18" s="1678"/>
      <c r="H18" s="1677"/>
      <c r="I18" s="1306"/>
      <c r="J18" s="1682"/>
      <c r="K18" s="1311" t="s">
        <v>599</v>
      </c>
      <c r="L18" s="1312" t="s">
        <v>616</v>
      </c>
      <c r="M18" s="1313"/>
      <c r="N18" s="1312"/>
      <c r="O18" s="1313"/>
      <c r="P18" s="1312"/>
      <c r="Q18" s="1313"/>
      <c r="R18" s="1312"/>
      <c r="S18" s="1313"/>
      <c r="T18" s="1312"/>
      <c r="U18" s="1313"/>
      <c r="V18" s="1306"/>
      <c r="W18" s="1311" t="s">
        <v>736</v>
      </c>
      <c r="X18" s="1316">
        <v>0.33333333333333331</v>
      </c>
      <c r="Y18" s="1317">
        <v>0.60416666666666663</v>
      </c>
      <c r="Z18" s="1316">
        <v>0.33333333333333331</v>
      </c>
      <c r="AA18" s="1317">
        <v>0.60416666666666663</v>
      </c>
      <c r="AB18" s="1316">
        <v>0.33333333333333331</v>
      </c>
      <c r="AC18" s="1317">
        <v>0.60416666666666663</v>
      </c>
      <c r="AD18" s="1316">
        <v>0.33333333333333331</v>
      </c>
      <c r="AE18" s="1317">
        <v>0.60416666666666663</v>
      </c>
      <c r="AF18" s="1316">
        <v>0.33333333333333331</v>
      </c>
      <c r="AG18" s="1317">
        <v>0.60416666666666663</v>
      </c>
      <c r="AH18" s="1311" t="s">
        <v>601</v>
      </c>
      <c r="AI18" s="1306"/>
    </row>
    <row r="19" spans="1:35" x14ac:dyDescent="0.25">
      <c r="A19" s="1306"/>
      <c r="B19" s="1306"/>
      <c r="C19" s="1306"/>
      <c r="D19" s="1306"/>
      <c r="E19" s="1679"/>
      <c r="F19" s="1679"/>
      <c r="G19" s="1679"/>
      <c r="H19" s="1318"/>
      <c r="I19" s="1306"/>
      <c r="J19" s="1307"/>
      <c r="K19" s="1307"/>
      <c r="L19" s="1320"/>
      <c r="M19" s="1320"/>
      <c r="N19" s="1320"/>
      <c r="O19" s="1320"/>
      <c r="P19" s="1320"/>
      <c r="Q19" s="1320"/>
      <c r="R19" s="1320"/>
      <c r="S19" s="1320"/>
      <c r="T19" s="1320"/>
      <c r="U19" s="1320"/>
      <c r="V19" s="1306"/>
      <c r="W19" s="1311" t="s">
        <v>937</v>
      </c>
      <c r="X19" s="1316">
        <v>0.29166666666666669</v>
      </c>
      <c r="Y19" s="1317">
        <v>0.5625</v>
      </c>
      <c r="Z19" s="1316">
        <v>0.29166666666666669</v>
      </c>
      <c r="AA19" s="1317">
        <v>0.5625</v>
      </c>
      <c r="AB19" s="1316">
        <v>0.29166666666666669</v>
      </c>
      <c r="AC19" s="1317">
        <v>0.5625</v>
      </c>
      <c r="AD19" s="1316">
        <v>0.29166666666666669</v>
      </c>
      <c r="AE19" s="1317">
        <v>0.5625</v>
      </c>
      <c r="AF19" s="1316">
        <v>0.29166666666666669</v>
      </c>
      <c r="AG19" s="1317">
        <v>0.5625</v>
      </c>
      <c r="AH19" s="1311" t="s">
        <v>601</v>
      </c>
      <c r="AI19" s="1306"/>
    </row>
    <row r="20" spans="1:35" x14ac:dyDescent="0.25">
      <c r="A20" s="1306"/>
      <c r="B20" s="1676" t="s">
        <v>450</v>
      </c>
      <c r="C20" s="1677"/>
      <c r="D20" s="1306"/>
      <c r="E20" s="1676" t="s">
        <v>617</v>
      </c>
      <c r="F20" s="1678"/>
      <c r="G20" s="1678"/>
      <c r="H20" s="1677"/>
      <c r="I20" s="1306"/>
      <c r="J20" s="1307"/>
      <c r="K20" s="1314" t="s">
        <v>618</v>
      </c>
      <c r="L20" s="1674" t="s">
        <v>567</v>
      </c>
      <c r="M20" s="1675"/>
      <c r="N20" s="1674" t="s">
        <v>568</v>
      </c>
      <c r="O20" s="1675"/>
      <c r="P20" s="1674" t="s">
        <v>569</v>
      </c>
      <c r="Q20" s="1675"/>
      <c r="R20" s="1674" t="s">
        <v>556</v>
      </c>
      <c r="S20" s="1675"/>
      <c r="T20" s="1674" t="s">
        <v>570</v>
      </c>
      <c r="U20" s="1675"/>
      <c r="V20" s="1306"/>
      <c r="W20" s="1311" t="s">
        <v>938</v>
      </c>
      <c r="X20" s="1316">
        <v>0.29166666666666669</v>
      </c>
      <c r="Y20" s="1317">
        <v>0.5625</v>
      </c>
      <c r="Z20" s="1316">
        <v>0.29166666666666669</v>
      </c>
      <c r="AA20" s="1317">
        <v>0.5625</v>
      </c>
      <c r="AB20" s="1316">
        <v>0.29166666666666669</v>
      </c>
      <c r="AC20" s="1317">
        <v>0.5625</v>
      </c>
      <c r="AD20" s="1316">
        <v>0.29166666666666669</v>
      </c>
      <c r="AE20" s="1317">
        <v>0.5625</v>
      </c>
      <c r="AF20" s="1316">
        <v>0.29166666666666669</v>
      </c>
      <c r="AG20" s="1317">
        <v>0.5625</v>
      </c>
      <c r="AH20" s="1311" t="s">
        <v>601</v>
      </c>
      <c r="AI20" s="1306"/>
    </row>
    <row r="21" spans="1:35" x14ac:dyDescent="0.25">
      <c r="A21" s="1306"/>
      <c r="B21" s="1306"/>
      <c r="C21" s="1306"/>
      <c r="D21" s="1306"/>
      <c r="E21" s="1679"/>
      <c r="F21" s="1679"/>
      <c r="G21" s="1679"/>
      <c r="H21" s="1318"/>
      <c r="I21" s="1306"/>
      <c r="J21" s="1681" t="s">
        <v>619</v>
      </c>
      <c r="K21" s="1311" t="s">
        <v>595</v>
      </c>
      <c r="L21" s="1312">
        <v>0.33333333333333331</v>
      </c>
      <c r="M21" s="1313"/>
      <c r="N21" s="1312"/>
      <c r="O21" s="1313"/>
      <c r="P21" s="1312"/>
      <c r="Q21" s="1313"/>
      <c r="R21" s="1312"/>
      <c r="S21" s="1313"/>
      <c r="T21" s="1312"/>
      <c r="U21" s="1313"/>
      <c r="V21" s="1306"/>
      <c r="W21" s="1307"/>
      <c r="X21" s="1320"/>
      <c r="Y21" s="1320"/>
      <c r="Z21" s="1320"/>
      <c r="AA21" s="1321"/>
      <c r="AB21" s="1321"/>
      <c r="AC21" s="1320"/>
      <c r="AD21" s="1320"/>
      <c r="AE21" s="1320"/>
      <c r="AF21" s="1320"/>
      <c r="AG21" s="1320"/>
      <c r="AH21" s="1320"/>
      <c r="AI21" s="1306"/>
    </row>
    <row r="22" spans="1:35" x14ac:dyDescent="0.25">
      <c r="A22" s="1306"/>
      <c r="B22" s="1676" t="s">
        <v>620</v>
      </c>
      <c r="C22" s="1677"/>
      <c r="D22" s="1306"/>
      <c r="E22" s="1676" t="s">
        <v>608</v>
      </c>
      <c r="F22" s="1678"/>
      <c r="G22" s="1678"/>
      <c r="H22" s="1677"/>
      <c r="I22" s="1306"/>
      <c r="J22" s="1682"/>
      <c r="K22" s="1311" t="s">
        <v>599</v>
      </c>
      <c r="L22" s="1312">
        <v>0.65833333333333333</v>
      </c>
      <c r="M22" s="1313"/>
      <c r="N22" s="1312"/>
      <c r="O22" s="1313"/>
      <c r="P22" s="1312"/>
      <c r="Q22" s="1313"/>
      <c r="R22" s="1312"/>
      <c r="S22" s="1313"/>
      <c r="T22" s="1312"/>
      <c r="U22" s="1313"/>
      <c r="V22" s="1306"/>
      <c r="W22" s="1314" t="s">
        <v>613</v>
      </c>
      <c r="X22" s="1674" t="s">
        <v>567</v>
      </c>
      <c r="Y22" s="1675"/>
      <c r="Z22" s="1674" t="s">
        <v>568</v>
      </c>
      <c r="AA22" s="1675"/>
      <c r="AB22" s="1674" t="s">
        <v>569</v>
      </c>
      <c r="AC22" s="1675"/>
      <c r="AD22" s="1674" t="s">
        <v>556</v>
      </c>
      <c r="AE22" s="1675"/>
      <c r="AF22" s="1674" t="s">
        <v>570</v>
      </c>
      <c r="AG22" s="1675"/>
      <c r="AH22" s="1315"/>
      <c r="AI22" s="1306"/>
    </row>
    <row r="23" spans="1:35" x14ac:dyDescent="0.25">
      <c r="A23" s="1306"/>
      <c r="B23" s="1306"/>
      <c r="C23" s="1306"/>
      <c r="D23" s="1306"/>
      <c r="E23" s="1318"/>
      <c r="F23" s="1318"/>
      <c r="G23" s="1318"/>
      <c r="H23" s="1318"/>
      <c r="I23" s="1306"/>
      <c r="J23" s="1307"/>
      <c r="K23" s="1307"/>
      <c r="L23" s="1320"/>
      <c r="M23" s="1320"/>
      <c r="N23" s="1320"/>
      <c r="O23" s="1320"/>
      <c r="P23" s="1320"/>
      <c r="Q23" s="1320"/>
      <c r="R23" s="1320"/>
      <c r="S23" s="1320"/>
      <c r="T23" s="1320"/>
      <c r="U23" s="1320"/>
      <c r="V23" s="1306"/>
      <c r="W23" s="1322" t="s">
        <v>939</v>
      </c>
      <c r="X23" s="1316">
        <v>0.29166666666666669</v>
      </c>
      <c r="Y23" s="1317">
        <v>0.5625</v>
      </c>
      <c r="Z23" s="1316">
        <v>0.29166666666666669</v>
      </c>
      <c r="AA23" s="1317">
        <v>0.5625</v>
      </c>
      <c r="AB23" s="1316">
        <v>0.29166666666666669</v>
      </c>
      <c r="AC23" s="1317">
        <v>0.5625</v>
      </c>
      <c r="AD23" s="1316">
        <v>0.29166666666666669</v>
      </c>
      <c r="AE23" s="1317">
        <v>0.5625</v>
      </c>
      <c r="AF23" s="1316">
        <v>0.29166666666666669</v>
      </c>
      <c r="AG23" s="1317">
        <v>0.5625</v>
      </c>
      <c r="AH23" s="1311" t="s">
        <v>601</v>
      </c>
      <c r="AI23" s="1306"/>
    </row>
    <row r="24" spans="1:35" x14ac:dyDescent="0.25">
      <c r="A24" s="1306"/>
      <c r="B24" s="1676" t="s">
        <v>621</v>
      </c>
      <c r="C24" s="1677"/>
      <c r="D24" s="1306"/>
      <c r="E24" s="1676" t="s">
        <v>608</v>
      </c>
      <c r="F24" s="1678"/>
      <c r="G24" s="1678"/>
      <c r="H24" s="1677"/>
      <c r="I24" s="1306"/>
      <c r="J24" s="1307"/>
      <c r="K24" s="1314" t="s">
        <v>622</v>
      </c>
      <c r="L24" s="1674" t="s">
        <v>567</v>
      </c>
      <c r="M24" s="1675"/>
      <c r="N24" s="1674" t="s">
        <v>568</v>
      </c>
      <c r="O24" s="1675"/>
      <c r="P24" s="1674" t="s">
        <v>569</v>
      </c>
      <c r="Q24" s="1675"/>
      <c r="R24" s="1674" t="s">
        <v>556</v>
      </c>
      <c r="S24" s="1675"/>
      <c r="T24" s="1674" t="s">
        <v>570</v>
      </c>
      <c r="U24" s="1675"/>
      <c r="V24" s="1306"/>
      <c r="W24" s="1311" t="s">
        <v>940</v>
      </c>
      <c r="X24" s="1316">
        <v>0.29166666666666669</v>
      </c>
      <c r="Y24" s="1317">
        <v>0.5625</v>
      </c>
      <c r="Z24" s="1316">
        <v>0.29166666666666669</v>
      </c>
      <c r="AA24" s="1317">
        <v>0.5625</v>
      </c>
      <c r="AB24" s="1316">
        <v>0.29166666666666669</v>
      </c>
      <c r="AC24" s="1317">
        <v>0.5625</v>
      </c>
      <c r="AD24" s="1316">
        <v>0.29166666666666669</v>
      </c>
      <c r="AE24" s="1317">
        <v>0.5625</v>
      </c>
      <c r="AF24" s="1316">
        <v>0.29166666666666669</v>
      </c>
      <c r="AG24" s="1317">
        <v>0.5625</v>
      </c>
      <c r="AH24" s="1311" t="s">
        <v>601</v>
      </c>
      <c r="AI24" s="1306"/>
    </row>
    <row r="25" spans="1:35" x14ac:dyDescent="0.25">
      <c r="A25" s="1306"/>
      <c r="B25" s="1318"/>
      <c r="C25" s="1318"/>
      <c r="D25" s="1306"/>
      <c r="E25" s="1306"/>
      <c r="F25" s="1306"/>
      <c r="G25" s="1306"/>
      <c r="H25" s="1306"/>
      <c r="I25" s="1306"/>
      <c r="J25" s="1681" t="s">
        <v>623</v>
      </c>
      <c r="K25" s="1311" t="s">
        <v>595</v>
      </c>
      <c r="L25" s="1683" t="s">
        <v>624</v>
      </c>
      <c r="M25" s="1684"/>
      <c r="N25" s="1684"/>
      <c r="O25" s="1684"/>
      <c r="P25" s="1684"/>
      <c r="Q25" s="1684"/>
      <c r="R25" s="1684"/>
      <c r="S25" s="1684"/>
      <c r="T25" s="1684"/>
      <c r="U25" s="1675"/>
      <c r="V25" s="1306"/>
      <c r="W25" s="1311" t="s">
        <v>942</v>
      </c>
      <c r="X25" s="1316">
        <v>0.29166666666666669</v>
      </c>
      <c r="Y25" s="1317">
        <v>0.5625</v>
      </c>
      <c r="Z25" s="1316">
        <v>0.29166666666666669</v>
      </c>
      <c r="AA25" s="1317">
        <v>0.5625</v>
      </c>
      <c r="AB25" s="1316">
        <v>0.29166666666666669</v>
      </c>
      <c r="AC25" s="1317">
        <v>0.5625</v>
      </c>
      <c r="AD25" s="1316">
        <v>0.29166666666666669</v>
      </c>
      <c r="AE25" s="1317">
        <v>0.5625</v>
      </c>
      <c r="AF25" s="1316">
        <v>0.29166666666666669</v>
      </c>
      <c r="AG25" s="1317">
        <v>0.5625</v>
      </c>
      <c r="AH25" s="1311" t="s">
        <v>601</v>
      </c>
      <c r="AI25" s="1306"/>
    </row>
    <row r="26" spans="1:35" x14ac:dyDescent="0.25">
      <c r="A26" s="1306"/>
      <c r="B26" s="1667" t="s">
        <v>625</v>
      </c>
      <c r="C26" s="1667"/>
      <c r="D26" s="1667"/>
      <c r="E26" s="1667"/>
      <c r="F26" s="1667"/>
      <c r="G26" s="1667"/>
      <c r="H26" s="1667"/>
      <c r="I26" s="1306"/>
      <c r="J26" s="1682"/>
      <c r="K26" s="1311" t="s">
        <v>599</v>
      </c>
      <c r="L26" s="1683" t="s">
        <v>626</v>
      </c>
      <c r="M26" s="1684"/>
      <c r="N26" s="1684"/>
      <c r="O26" s="1684"/>
      <c r="P26" s="1684"/>
      <c r="Q26" s="1684"/>
      <c r="R26" s="1684"/>
      <c r="S26" s="1684"/>
      <c r="T26" s="1684"/>
      <c r="U26" s="1675"/>
      <c r="V26" s="1306"/>
      <c r="W26" s="1307"/>
      <c r="X26" s="1320"/>
      <c r="Y26" s="1320"/>
      <c r="Z26" s="1320"/>
      <c r="AA26" s="1320"/>
      <c r="AB26" s="1320"/>
      <c r="AC26" s="1320"/>
      <c r="AD26" s="1320"/>
      <c r="AE26" s="1320"/>
      <c r="AF26" s="1320"/>
      <c r="AG26" s="1320"/>
      <c r="AH26" s="1320"/>
      <c r="AI26" s="1306"/>
    </row>
    <row r="27" spans="1:35" x14ac:dyDescent="0.25">
      <c r="A27" s="1306"/>
      <c r="B27" s="1318"/>
      <c r="C27" s="1318"/>
      <c r="D27" s="1306"/>
      <c r="E27" s="1306"/>
      <c r="F27" s="1306"/>
      <c r="G27" s="1306"/>
      <c r="H27" s="1306"/>
      <c r="I27" s="1306"/>
      <c r="J27" s="1307"/>
      <c r="K27" s="1307"/>
      <c r="L27" s="1320"/>
      <c r="M27" s="1320"/>
      <c r="N27" s="1320"/>
      <c r="O27" s="1320"/>
      <c r="P27" s="1320"/>
      <c r="Q27" s="1320"/>
      <c r="R27" s="1320"/>
      <c r="S27" s="1320"/>
      <c r="T27" s="1320"/>
      <c r="U27" s="1320"/>
      <c r="V27" s="1306"/>
      <c r="W27" s="1314" t="s">
        <v>618</v>
      </c>
      <c r="X27" s="1674" t="s">
        <v>567</v>
      </c>
      <c r="Y27" s="1675"/>
      <c r="Z27" s="1674" t="s">
        <v>568</v>
      </c>
      <c r="AA27" s="1675"/>
      <c r="AB27" s="1674" t="s">
        <v>569</v>
      </c>
      <c r="AC27" s="1675"/>
      <c r="AD27" s="1674" t="s">
        <v>556</v>
      </c>
      <c r="AE27" s="1675"/>
      <c r="AF27" s="1674" t="s">
        <v>570</v>
      </c>
      <c r="AG27" s="1675"/>
      <c r="AH27" s="1315"/>
      <c r="AI27" s="1306"/>
    </row>
    <row r="28" spans="1:35" x14ac:dyDescent="0.25">
      <c r="A28" s="1306"/>
      <c r="B28" s="1318" t="s">
        <v>627</v>
      </c>
      <c r="C28" s="1679" t="s">
        <v>948</v>
      </c>
      <c r="D28" s="1679"/>
      <c r="E28" s="1318" t="s">
        <v>628</v>
      </c>
      <c r="F28" s="1679" t="s">
        <v>953</v>
      </c>
      <c r="G28" s="1679"/>
      <c r="H28" s="1306"/>
      <c r="I28" s="1306"/>
      <c r="J28" s="1307"/>
      <c r="K28" s="1314" t="s">
        <v>629</v>
      </c>
      <c r="L28" s="1674" t="s">
        <v>567</v>
      </c>
      <c r="M28" s="1675"/>
      <c r="N28" s="1674" t="s">
        <v>568</v>
      </c>
      <c r="O28" s="1675"/>
      <c r="P28" s="1674" t="s">
        <v>569</v>
      </c>
      <c r="Q28" s="1675"/>
      <c r="R28" s="1674" t="s">
        <v>556</v>
      </c>
      <c r="S28" s="1675"/>
      <c r="T28" s="1674" t="s">
        <v>570</v>
      </c>
      <c r="U28" s="1675"/>
      <c r="V28" s="1306"/>
      <c r="W28" s="1311" t="s">
        <v>941</v>
      </c>
      <c r="X28" s="1316">
        <v>0.33333333333333331</v>
      </c>
      <c r="Y28" s="1317">
        <v>0.60416666666666663</v>
      </c>
      <c r="Z28" s="1316">
        <v>0.33333333333333331</v>
      </c>
      <c r="AA28" s="1317">
        <v>0.60416666666666663</v>
      </c>
      <c r="AB28" s="1316">
        <v>0.33333333333333331</v>
      </c>
      <c r="AC28" s="1317">
        <v>0.60416666666666663</v>
      </c>
      <c r="AD28" s="1316">
        <v>0.33333333333333331</v>
      </c>
      <c r="AE28" s="1317">
        <v>0.60416666666666663</v>
      </c>
      <c r="AF28" s="1316">
        <v>0.33333333333333331</v>
      </c>
      <c r="AG28" s="1317">
        <v>0.60416666666666663</v>
      </c>
      <c r="AH28" s="1311" t="s">
        <v>601</v>
      </c>
      <c r="AI28" s="1306"/>
    </row>
    <row r="29" spans="1:35" x14ac:dyDescent="0.25">
      <c r="A29" s="1306"/>
      <c r="B29" s="1318" t="s">
        <v>627</v>
      </c>
      <c r="C29" s="1679" t="s">
        <v>949</v>
      </c>
      <c r="D29" s="1679"/>
      <c r="E29" s="1318" t="s">
        <v>628</v>
      </c>
      <c r="F29" s="1679" t="s">
        <v>954</v>
      </c>
      <c r="G29" s="1679"/>
      <c r="H29" s="1306"/>
      <c r="I29" s="1306"/>
      <c r="J29" s="1681" t="s">
        <v>605</v>
      </c>
      <c r="K29" s="1311" t="s">
        <v>595</v>
      </c>
      <c r="L29" s="1312">
        <v>0.33333333333333331</v>
      </c>
      <c r="M29" s="1313"/>
      <c r="N29" s="1312"/>
      <c r="O29" s="1313"/>
      <c r="P29" s="1312"/>
      <c r="Q29" s="1313"/>
      <c r="R29" s="1312"/>
      <c r="S29" s="1313"/>
      <c r="T29" s="1312"/>
      <c r="U29" s="1313"/>
      <c r="V29" s="1306"/>
      <c r="W29" s="1307"/>
      <c r="X29" s="1320"/>
      <c r="Y29" s="1320"/>
      <c r="Z29" s="1320"/>
      <c r="AA29" s="1320"/>
      <c r="AB29" s="1320"/>
      <c r="AC29" s="1320"/>
      <c r="AD29" s="1320"/>
      <c r="AE29" s="1320"/>
      <c r="AF29" s="1320"/>
      <c r="AG29" s="1320"/>
      <c r="AH29" s="1320"/>
      <c r="AI29" s="1306"/>
    </row>
    <row r="30" spans="1:35" x14ac:dyDescent="0.25">
      <c r="A30" s="1306"/>
      <c r="B30" s="1318" t="s">
        <v>627</v>
      </c>
      <c r="C30" s="1679" t="s">
        <v>950</v>
      </c>
      <c r="D30" s="1679"/>
      <c r="E30" s="1318" t="s">
        <v>628</v>
      </c>
      <c r="F30" s="1679" t="s">
        <v>955</v>
      </c>
      <c r="G30" s="1679"/>
      <c r="H30" s="1306"/>
      <c r="I30" s="1306"/>
      <c r="J30" s="1682"/>
      <c r="K30" s="1311" t="s">
        <v>599</v>
      </c>
      <c r="L30" s="1312">
        <v>0.65833333333333333</v>
      </c>
      <c r="M30" s="1313"/>
      <c r="N30" s="1312"/>
      <c r="O30" s="1313"/>
      <c r="P30" s="1312"/>
      <c r="Q30" s="1313"/>
      <c r="R30" s="1312"/>
      <c r="S30" s="1313"/>
      <c r="T30" s="1312"/>
      <c r="U30" s="1313"/>
      <c r="V30" s="1306"/>
      <c r="W30" s="1314" t="s">
        <v>622</v>
      </c>
      <c r="X30" s="1674" t="s">
        <v>567</v>
      </c>
      <c r="Y30" s="1675"/>
      <c r="Z30" s="1674" t="s">
        <v>568</v>
      </c>
      <c r="AA30" s="1675"/>
      <c r="AB30" s="1674" t="s">
        <v>569</v>
      </c>
      <c r="AC30" s="1675"/>
      <c r="AD30" s="1674" t="s">
        <v>556</v>
      </c>
      <c r="AE30" s="1675"/>
      <c r="AF30" s="1674" t="s">
        <v>570</v>
      </c>
      <c r="AG30" s="1675"/>
      <c r="AH30" s="1315"/>
      <c r="AI30" s="1306"/>
    </row>
    <row r="31" spans="1:35" x14ac:dyDescent="0.25">
      <c r="A31" s="1306"/>
      <c r="B31" s="1318" t="s">
        <v>627</v>
      </c>
      <c r="C31" s="1679" t="s">
        <v>951</v>
      </c>
      <c r="D31" s="1679"/>
      <c r="E31" s="1318" t="s">
        <v>628</v>
      </c>
      <c r="F31" s="1679" t="s">
        <v>956</v>
      </c>
      <c r="G31" s="1679"/>
      <c r="H31" s="1306"/>
      <c r="I31" s="1306"/>
      <c r="J31" s="1307"/>
      <c r="K31" s="1666" t="s">
        <v>630</v>
      </c>
      <c r="L31" s="1666"/>
      <c r="M31" s="1666"/>
      <c r="N31" s="1666"/>
      <c r="O31" s="1666"/>
      <c r="P31" s="1666"/>
      <c r="Q31" s="1666"/>
      <c r="R31" s="1666"/>
      <c r="S31" s="1666"/>
      <c r="T31" s="1666"/>
      <c r="U31" s="1666"/>
      <c r="V31" s="1306"/>
      <c r="W31" s="1323" t="s">
        <v>943</v>
      </c>
      <c r="X31" s="1316">
        <v>0.29166666666666669</v>
      </c>
      <c r="Y31" s="1317">
        <v>0.5625</v>
      </c>
      <c r="Z31" s="1316">
        <v>0.29166666666666669</v>
      </c>
      <c r="AA31" s="1317">
        <v>0.5625</v>
      </c>
      <c r="AB31" s="1316">
        <v>0.29166666666666669</v>
      </c>
      <c r="AC31" s="1317">
        <v>0.5625</v>
      </c>
      <c r="AD31" s="1316">
        <v>0.29166666666666669</v>
      </c>
      <c r="AE31" s="1317">
        <v>0.5625</v>
      </c>
      <c r="AF31" s="1316">
        <v>0.29166666666666669</v>
      </c>
      <c r="AG31" s="1317">
        <v>0.5625</v>
      </c>
      <c r="AH31" s="1311" t="s">
        <v>601</v>
      </c>
      <c r="AI31" s="1306"/>
    </row>
    <row r="32" spans="1:35" x14ac:dyDescent="0.25">
      <c r="A32" s="1306"/>
      <c r="B32" s="1318" t="s">
        <v>627</v>
      </c>
      <c r="C32" s="1679" t="s">
        <v>952</v>
      </c>
      <c r="D32" s="1679"/>
      <c r="E32" s="1318" t="s">
        <v>628</v>
      </c>
      <c r="F32" s="1679" t="s">
        <v>957</v>
      </c>
      <c r="G32" s="1679"/>
      <c r="H32" s="1306"/>
      <c r="I32" s="1306"/>
      <c r="J32" s="1307"/>
      <c r="K32" s="1320"/>
      <c r="L32" s="1320"/>
      <c r="M32" s="1320"/>
      <c r="N32" s="1320"/>
      <c r="O32" s="1320"/>
      <c r="P32" s="1320"/>
      <c r="Q32" s="1320"/>
      <c r="R32" s="1320"/>
      <c r="S32" s="1320"/>
      <c r="T32" s="1320"/>
      <c r="U32" s="1320"/>
      <c r="V32" s="1306"/>
      <c r="W32" s="1323" t="s">
        <v>944</v>
      </c>
      <c r="X32" s="1316">
        <v>0.27083333333333331</v>
      </c>
      <c r="Y32" s="1317">
        <v>0.54166666666666663</v>
      </c>
      <c r="Z32" s="1316">
        <v>0.27083333333333331</v>
      </c>
      <c r="AA32" s="1317">
        <v>0.54166666666666663</v>
      </c>
      <c r="AB32" s="1316">
        <v>0.27083333333333331</v>
      </c>
      <c r="AC32" s="1317">
        <v>0.54166666666666663</v>
      </c>
      <c r="AD32" s="1316">
        <v>0.27083333333333331</v>
      </c>
      <c r="AE32" s="1317">
        <v>0.54166666666666663</v>
      </c>
      <c r="AF32" s="1316">
        <v>0.27083333333333331</v>
      </c>
      <c r="AG32" s="1317">
        <v>0.54166666666666663</v>
      </c>
      <c r="AH32" s="1311" t="s">
        <v>601</v>
      </c>
      <c r="AI32" s="1306"/>
    </row>
    <row r="33" spans="1:35" ht="16.5" thickBot="1" x14ac:dyDescent="0.3">
      <c r="A33" s="1306"/>
      <c r="B33" s="1318"/>
      <c r="C33" s="1318"/>
      <c r="D33" s="1318"/>
      <c r="E33" s="1318"/>
      <c r="F33" s="1318"/>
      <c r="G33" s="1318"/>
      <c r="H33" s="1306"/>
      <c r="I33" s="1306"/>
      <c r="J33" s="1307"/>
      <c r="K33" s="1314" t="s">
        <v>631</v>
      </c>
      <c r="L33" s="1674" t="s">
        <v>567</v>
      </c>
      <c r="M33" s="1675"/>
      <c r="N33" s="1674" t="s">
        <v>568</v>
      </c>
      <c r="O33" s="1675"/>
      <c r="P33" s="1674" t="s">
        <v>569</v>
      </c>
      <c r="Q33" s="1675"/>
      <c r="R33" s="1674" t="s">
        <v>556</v>
      </c>
      <c r="S33" s="1675"/>
      <c r="T33" s="1674" t="s">
        <v>570</v>
      </c>
      <c r="U33" s="1675"/>
      <c r="V33" s="1306"/>
      <c r="W33" s="1307"/>
      <c r="X33" s="1320"/>
      <c r="Y33" s="1320"/>
      <c r="Z33" s="1320"/>
      <c r="AA33" s="1320"/>
      <c r="AB33" s="1320"/>
      <c r="AC33" s="1320"/>
      <c r="AD33" s="1320"/>
      <c r="AE33" s="1320"/>
      <c r="AF33" s="1320"/>
      <c r="AG33" s="1320"/>
      <c r="AH33" s="1320"/>
      <c r="AI33" s="1306"/>
    </row>
    <row r="34" spans="1:35" ht="16.5" thickBot="1" x14ac:dyDescent="0.3">
      <c r="B34" s="1669" t="s">
        <v>632</v>
      </c>
      <c r="C34" s="1670"/>
      <c r="D34" s="1670"/>
      <c r="E34" s="1670"/>
      <c r="F34" s="1670"/>
      <c r="G34" s="1670"/>
      <c r="H34" s="1671"/>
      <c r="J34" s="1681" t="s">
        <v>623</v>
      </c>
      <c r="K34" s="1311" t="s">
        <v>595</v>
      </c>
      <c r="L34" s="1683" t="s">
        <v>633</v>
      </c>
      <c r="M34" s="1684"/>
      <c r="N34" s="1684"/>
      <c r="O34" s="1684"/>
      <c r="P34" s="1684"/>
      <c r="Q34" s="1684"/>
      <c r="R34" s="1684"/>
      <c r="S34" s="1684"/>
      <c r="T34" s="1684"/>
      <c r="U34" s="1675"/>
      <c r="W34" s="1074" t="s">
        <v>634</v>
      </c>
      <c r="X34" s="1672" t="s">
        <v>567</v>
      </c>
      <c r="Y34" s="1673"/>
      <c r="Z34" s="1672" t="s">
        <v>568</v>
      </c>
      <c r="AA34" s="1673"/>
      <c r="AB34" s="1672" t="s">
        <v>569</v>
      </c>
      <c r="AC34" s="1673"/>
      <c r="AD34" s="1672" t="s">
        <v>556</v>
      </c>
      <c r="AE34" s="1673"/>
      <c r="AF34" s="1672" t="s">
        <v>570</v>
      </c>
      <c r="AG34" s="1673"/>
      <c r="AH34" s="1076"/>
      <c r="AI34" s="1306"/>
    </row>
    <row r="35" spans="1:35" x14ac:dyDescent="0.25">
      <c r="A35" s="1306"/>
      <c r="B35" s="1306"/>
      <c r="C35" s="1324"/>
      <c r="D35" s="1324"/>
      <c r="E35" s="1680" t="s">
        <v>593</v>
      </c>
      <c r="F35" s="1680"/>
      <c r="G35" s="1680"/>
      <c r="H35" s="1680"/>
      <c r="I35" s="1306"/>
      <c r="J35" s="1682"/>
      <c r="K35" s="1311" t="s">
        <v>599</v>
      </c>
      <c r="L35" s="1683" t="s">
        <v>635</v>
      </c>
      <c r="M35" s="1684"/>
      <c r="N35" s="1684"/>
      <c r="O35" s="1684"/>
      <c r="P35" s="1684"/>
      <c r="Q35" s="1684"/>
      <c r="R35" s="1684"/>
      <c r="S35" s="1684"/>
      <c r="T35" s="1684"/>
      <c r="U35" s="1675"/>
      <c r="W35" s="1079" t="s">
        <v>945</v>
      </c>
      <c r="X35" s="1077">
        <v>0.33333333333333331</v>
      </c>
      <c r="Y35" s="1078">
        <v>0.60416666666666663</v>
      </c>
      <c r="Z35" s="1077">
        <v>0.33333333333333331</v>
      </c>
      <c r="AA35" s="1078">
        <v>0.60416666666666663</v>
      </c>
      <c r="AB35" s="1077">
        <v>0.33333333333333331</v>
      </c>
      <c r="AC35" s="1078">
        <v>0.60416666666666663</v>
      </c>
      <c r="AD35" s="1077">
        <v>0.33333333333333331</v>
      </c>
      <c r="AE35" s="1078">
        <v>0.60416666666666663</v>
      </c>
      <c r="AF35" s="1077">
        <v>0.33333333333333331</v>
      </c>
      <c r="AG35" s="1078">
        <v>0.60416666666666663</v>
      </c>
      <c r="AH35" s="1075" t="s">
        <v>601</v>
      </c>
      <c r="AI35" s="1306"/>
    </row>
    <row r="36" spans="1:35" x14ac:dyDescent="0.25">
      <c r="A36" s="1306"/>
      <c r="B36" s="1676" t="s">
        <v>597</v>
      </c>
      <c r="C36" s="1677"/>
      <c r="D36" s="1306"/>
      <c r="E36" s="1676" t="s">
        <v>636</v>
      </c>
      <c r="F36" s="1678"/>
      <c r="G36" s="1678"/>
      <c r="H36" s="1677"/>
      <c r="I36" s="1306"/>
      <c r="J36" s="1307"/>
      <c r="K36" s="1320"/>
      <c r="L36" s="1321"/>
      <c r="M36" s="1320"/>
      <c r="N36" s="1320"/>
      <c r="O36" s="1320"/>
      <c r="P36" s="1320"/>
      <c r="Q36" s="1320"/>
      <c r="R36" s="1320"/>
      <c r="S36" s="1320"/>
      <c r="T36" s="1320"/>
      <c r="U36" s="1320"/>
      <c r="V36" s="1306"/>
      <c r="W36" s="1666" t="s">
        <v>630</v>
      </c>
      <c r="X36" s="1666"/>
      <c r="Y36" s="1666"/>
      <c r="Z36" s="1666"/>
      <c r="AA36" s="1666"/>
      <c r="AB36" s="1666"/>
      <c r="AC36" s="1666"/>
      <c r="AD36" s="1666"/>
      <c r="AE36" s="1666"/>
      <c r="AF36" s="1666"/>
      <c r="AG36" s="1666"/>
      <c r="AH36" s="1666"/>
      <c r="AI36" s="1306"/>
    </row>
    <row r="37" spans="1:35" x14ac:dyDescent="0.25">
      <c r="A37" s="1306"/>
      <c r="B37" s="1318"/>
      <c r="C37" s="1318"/>
      <c r="D37" s="1306"/>
      <c r="E37" s="1685"/>
      <c r="F37" s="1685"/>
      <c r="G37" s="1685"/>
      <c r="H37" s="1306"/>
      <c r="I37" s="1306"/>
      <c r="J37" s="1308" t="s">
        <v>637</v>
      </c>
      <c r="K37" s="1325"/>
      <c r="L37" s="1326"/>
      <c r="M37" s="1325"/>
      <c r="N37" s="1325"/>
      <c r="O37" s="1325"/>
      <c r="P37" s="1325"/>
      <c r="Q37" s="1325"/>
      <c r="R37" s="1325"/>
      <c r="S37" s="1325"/>
      <c r="T37" s="1325"/>
      <c r="U37" s="1325"/>
      <c r="V37" s="1306"/>
      <c r="W37" s="1320"/>
      <c r="X37" s="1320"/>
      <c r="Y37" s="1320"/>
      <c r="Z37" s="1320"/>
      <c r="AA37" s="1320"/>
      <c r="AB37" s="1320"/>
      <c r="AC37" s="1320"/>
      <c r="AD37" s="1320"/>
      <c r="AE37" s="1320"/>
      <c r="AF37" s="1320"/>
      <c r="AG37" s="1320"/>
      <c r="AH37" s="1320"/>
      <c r="AI37" s="1306"/>
    </row>
    <row r="38" spans="1:35" x14ac:dyDescent="0.25">
      <c r="A38" s="1306"/>
      <c r="B38" s="1676" t="s">
        <v>602</v>
      </c>
      <c r="C38" s="1677"/>
      <c r="D38" s="1306"/>
      <c r="E38" s="1676" t="s">
        <v>636</v>
      </c>
      <c r="F38" s="1678"/>
      <c r="G38" s="1678"/>
      <c r="H38" s="1677"/>
      <c r="I38" s="1306"/>
      <c r="J38" s="1308" t="s">
        <v>638</v>
      </c>
      <c r="K38" s="1308"/>
      <c r="L38" s="1325"/>
      <c r="M38" s="1325"/>
      <c r="N38" s="1325"/>
      <c r="O38" s="1325"/>
      <c r="P38" s="1325"/>
      <c r="Q38" s="1325"/>
      <c r="R38" s="1325"/>
      <c r="S38" s="1325"/>
      <c r="T38" s="1325"/>
      <c r="U38" s="1325"/>
      <c r="V38" s="1306"/>
      <c r="W38" s="1314" t="s">
        <v>631</v>
      </c>
      <c r="X38" s="1674" t="s">
        <v>567</v>
      </c>
      <c r="Y38" s="1675"/>
      <c r="Z38" s="1674" t="s">
        <v>568</v>
      </c>
      <c r="AA38" s="1675"/>
      <c r="AB38" s="1674" t="s">
        <v>569</v>
      </c>
      <c r="AC38" s="1675"/>
      <c r="AD38" s="1674" t="s">
        <v>556</v>
      </c>
      <c r="AE38" s="1675"/>
      <c r="AF38" s="1674" t="s">
        <v>570</v>
      </c>
      <c r="AG38" s="1675"/>
      <c r="AH38" s="1315"/>
      <c r="AI38" s="1306"/>
    </row>
    <row r="39" spans="1:35" x14ac:dyDescent="0.25">
      <c r="A39" s="1306"/>
      <c r="B39" s="1306"/>
      <c r="C39" s="1306"/>
      <c r="D39" s="1306"/>
      <c r="E39" s="1685"/>
      <c r="F39" s="1685"/>
      <c r="G39" s="1685"/>
      <c r="H39" s="1306"/>
      <c r="I39" s="1306"/>
      <c r="J39" s="1308" t="s">
        <v>639</v>
      </c>
      <c r="K39" s="1325"/>
      <c r="L39" s="1325"/>
      <c r="M39" s="1325"/>
      <c r="N39" s="1325"/>
      <c r="O39" s="1325"/>
      <c r="P39" s="1325"/>
      <c r="Q39" s="1325"/>
      <c r="R39" s="1325"/>
      <c r="S39" s="1325"/>
      <c r="T39" s="1325"/>
      <c r="U39" s="1325"/>
      <c r="V39" s="1306"/>
      <c r="W39" s="1322" t="s">
        <v>946</v>
      </c>
      <c r="X39" s="1316">
        <v>0.35416666666666669</v>
      </c>
      <c r="Y39" s="1317">
        <v>0.625</v>
      </c>
      <c r="Z39" s="1316">
        <v>0.35416666666666669</v>
      </c>
      <c r="AA39" s="1317">
        <v>0.625</v>
      </c>
      <c r="AB39" s="1316">
        <v>0.35416666666666669</v>
      </c>
      <c r="AC39" s="1317">
        <v>0.625</v>
      </c>
      <c r="AD39" s="1316">
        <v>0.35416666666666669</v>
      </c>
      <c r="AE39" s="1317">
        <v>0.625</v>
      </c>
      <c r="AF39" s="1316">
        <v>0.35416666666666669</v>
      </c>
      <c r="AG39" s="1317">
        <v>0.625</v>
      </c>
      <c r="AH39" s="1311" t="s">
        <v>601</v>
      </c>
      <c r="AI39" s="1306"/>
    </row>
    <row r="40" spans="1:35" x14ac:dyDescent="0.25">
      <c r="A40" s="1306"/>
      <c r="B40" s="1676" t="s">
        <v>640</v>
      </c>
      <c r="C40" s="1677"/>
      <c r="D40" s="1306"/>
      <c r="E40" s="1676" t="s">
        <v>641</v>
      </c>
      <c r="F40" s="1678"/>
      <c r="G40" s="1678"/>
      <c r="H40" s="1677"/>
      <c r="I40" s="1306"/>
      <c r="J40" s="1308" t="s">
        <v>642</v>
      </c>
      <c r="K40" s="1325"/>
      <c r="L40" s="1325"/>
      <c r="M40" s="1325"/>
      <c r="N40" s="1325"/>
      <c r="O40" s="1325"/>
      <c r="P40" s="1325"/>
      <c r="Q40" s="1325"/>
      <c r="R40" s="1325"/>
      <c r="S40" s="1325"/>
      <c r="T40" s="1325"/>
      <c r="U40" s="1325"/>
      <c r="V40" s="1306"/>
      <c r="W40" s="1322" t="s">
        <v>947</v>
      </c>
      <c r="X40" s="1316">
        <v>0.35416666666666669</v>
      </c>
      <c r="Y40" s="1317">
        <v>0.625</v>
      </c>
      <c r="Z40" s="1316">
        <v>0.35416666666666669</v>
      </c>
      <c r="AA40" s="1317">
        <v>0.625</v>
      </c>
      <c r="AB40" s="1316">
        <v>0.35416666666666669</v>
      </c>
      <c r="AC40" s="1317">
        <v>0.625</v>
      </c>
      <c r="AD40" s="1316">
        <v>0.35416666666666669</v>
      </c>
      <c r="AE40" s="1317">
        <v>0.625</v>
      </c>
      <c r="AF40" s="1316">
        <v>0.35416666666666669</v>
      </c>
      <c r="AG40" s="1317">
        <v>0.625</v>
      </c>
      <c r="AH40" s="1311" t="s">
        <v>601</v>
      </c>
      <c r="AI40" s="1306"/>
    </row>
    <row r="41" spans="1:35" x14ac:dyDescent="0.25">
      <c r="A41" s="1306"/>
      <c r="B41" s="1306"/>
      <c r="C41" s="1306"/>
      <c r="D41" s="1306"/>
      <c r="E41" s="1306"/>
      <c r="F41" s="1306"/>
      <c r="G41" s="1306"/>
      <c r="H41" s="1306"/>
      <c r="I41" s="1306"/>
      <c r="J41" s="1307"/>
      <c r="K41" s="1307"/>
      <c r="L41" s="1320"/>
      <c r="M41" s="1320"/>
      <c r="N41" s="1320"/>
      <c r="O41" s="1320"/>
      <c r="P41" s="1320"/>
      <c r="Q41" s="1320"/>
      <c r="R41" s="1320"/>
      <c r="S41" s="1320"/>
      <c r="T41" s="1320"/>
      <c r="U41" s="1320"/>
      <c r="V41" s="1306"/>
      <c r="W41" s="1686" t="s">
        <v>643</v>
      </c>
      <c r="X41" s="1686"/>
      <c r="Y41" s="1686"/>
      <c r="Z41" s="1686"/>
      <c r="AA41" s="1686"/>
      <c r="AB41" s="1686"/>
      <c r="AC41" s="1686"/>
      <c r="AD41" s="1686"/>
      <c r="AE41" s="1686"/>
      <c r="AF41" s="1686"/>
      <c r="AG41" s="1686"/>
      <c r="AH41" s="1686"/>
      <c r="AI41" s="1306"/>
    </row>
    <row r="42" spans="1:35" x14ac:dyDescent="0.25">
      <c r="A42" s="1306"/>
      <c r="B42" s="1676" t="s">
        <v>554</v>
      </c>
      <c r="C42" s="1677"/>
      <c r="D42" s="1306"/>
      <c r="E42" s="1676" t="s">
        <v>644</v>
      </c>
      <c r="F42" s="1678"/>
      <c r="G42" s="1678"/>
      <c r="H42" s="1677"/>
      <c r="I42" s="1306"/>
      <c r="J42" s="1307"/>
      <c r="K42" s="1307"/>
      <c r="L42" s="1320"/>
      <c r="M42" s="1320"/>
      <c r="N42" s="1320"/>
      <c r="O42" s="1320"/>
      <c r="P42" s="1320"/>
      <c r="Q42" s="1320"/>
      <c r="R42" s="1320"/>
      <c r="S42" s="1320"/>
      <c r="T42" s="1320"/>
      <c r="U42" s="1320"/>
      <c r="V42" s="1306"/>
      <c r="W42" s="1666" t="s">
        <v>645</v>
      </c>
      <c r="X42" s="1666"/>
      <c r="Y42" s="1666"/>
      <c r="Z42" s="1666"/>
      <c r="AA42" s="1666"/>
      <c r="AB42" s="1666"/>
      <c r="AC42" s="1666"/>
      <c r="AD42" s="1666"/>
      <c r="AE42" s="1666"/>
      <c r="AF42" s="1666"/>
      <c r="AG42" s="1666"/>
      <c r="AH42" s="1666"/>
      <c r="AI42" s="1306"/>
    </row>
    <row r="43" spans="1:35" x14ac:dyDescent="0.25">
      <c r="A43" s="1306"/>
      <c r="B43" s="1306"/>
      <c r="C43" s="1306"/>
      <c r="D43" s="1306"/>
      <c r="E43" s="1685"/>
      <c r="F43" s="1685"/>
      <c r="G43" s="1685"/>
      <c r="H43" s="1306"/>
      <c r="I43" s="1306"/>
      <c r="J43" s="1307"/>
      <c r="K43" s="1307"/>
      <c r="L43" s="1320"/>
      <c r="M43" s="1320"/>
      <c r="N43" s="1320"/>
      <c r="O43" s="1320"/>
      <c r="P43" s="1320"/>
      <c r="Q43" s="1320"/>
      <c r="R43" s="1320"/>
      <c r="S43" s="1320"/>
      <c r="T43" s="1320"/>
      <c r="U43" s="1320"/>
      <c r="V43" s="1306"/>
      <c r="W43" s="1320"/>
      <c r="X43" s="1320"/>
      <c r="Y43" s="1320"/>
      <c r="Z43" s="1320"/>
      <c r="AA43" s="1320"/>
      <c r="AB43" s="1307"/>
      <c r="AC43" s="1320"/>
      <c r="AD43" s="1320"/>
      <c r="AE43" s="1320"/>
      <c r="AF43" s="1320"/>
      <c r="AG43" s="1320"/>
      <c r="AH43" s="1320"/>
      <c r="AI43" s="1306"/>
    </row>
    <row r="44" spans="1:35" x14ac:dyDescent="0.25">
      <c r="A44" s="1306"/>
      <c r="B44" s="1676" t="s">
        <v>552</v>
      </c>
      <c r="C44" s="1677"/>
      <c r="D44" s="1306"/>
      <c r="E44" s="1676" t="s">
        <v>646</v>
      </c>
      <c r="F44" s="1678"/>
      <c r="G44" s="1678"/>
      <c r="H44" s="1677"/>
      <c r="I44" s="1306"/>
      <c r="J44" s="1307"/>
      <c r="K44" s="1307"/>
      <c r="L44" s="1320"/>
      <c r="M44" s="1320"/>
      <c r="N44" s="1320"/>
      <c r="O44" s="1320"/>
      <c r="P44" s="1320"/>
      <c r="Q44" s="1320"/>
      <c r="R44" s="1320"/>
      <c r="S44" s="1320"/>
      <c r="T44" s="1320"/>
      <c r="U44" s="1320"/>
      <c r="V44" s="1306"/>
      <c r="W44" s="1307"/>
      <c r="X44" s="1320"/>
      <c r="Y44" s="1320"/>
      <c r="Z44" s="1320"/>
      <c r="AA44" s="1320"/>
      <c r="AB44" s="1320"/>
      <c r="AC44" s="1320"/>
      <c r="AD44" s="1320"/>
      <c r="AE44" s="1320"/>
      <c r="AF44" s="1320"/>
      <c r="AG44" s="1320"/>
      <c r="AH44" s="1320"/>
      <c r="AI44" s="1306"/>
    </row>
    <row r="45" spans="1:35" x14ac:dyDescent="0.25">
      <c r="A45" s="1306"/>
      <c r="B45" s="1306"/>
      <c r="C45" s="1306"/>
      <c r="D45" s="1306"/>
      <c r="E45" s="1685"/>
      <c r="F45" s="1685"/>
      <c r="G45" s="1685"/>
      <c r="H45" s="1306"/>
      <c r="I45" s="1306"/>
      <c r="J45" s="1307"/>
      <c r="K45" s="1307"/>
      <c r="L45" s="1320"/>
      <c r="M45" s="1320"/>
      <c r="N45" s="1320"/>
      <c r="O45" s="1320"/>
      <c r="P45" s="1320"/>
      <c r="Q45" s="1320"/>
      <c r="R45" s="1320"/>
      <c r="S45" s="1320"/>
      <c r="T45" s="1320"/>
      <c r="U45" s="1320"/>
      <c r="V45" s="1306"/>
      <c r="W45" s="1307"/>
      <c r="X45" s="1320"/>
      <c r="Y45" s="1320"/>
      <c r="Z45" s="1320"/>
      <c r="AA45" s="1320"/>
      <c r="AB45" s="1320"/>
      <c r="AC45" s="1320"/>
      <c r="AD45" s="1320"/>
      <c r="AE45" s="1320"/>
      <c r="AF45" s="1320"/>
      <c r="AG45" s="1320"/>
      <c r="AH45" s="1320"/>
      <c r="AI45" s="1306"/>
    </row>
    <row r="46" spans="1:35" x14ac:dyDescent="0.25">
      <c r="A46" s="1306"/>
      <c r="B46" s="1676" t="s">
        <v>615</v>
      </c>
      <c r="C46" s="1677"/>
      <c r="D46" s="1306"/>
      <c r="E46" s="1676" t="s">
        <v>641</v>
      </c>
      <c r="F46" s="1678"/>
      <c r="G46" s="1678"/>
      <c r="H46" s="1677"/>
      <c r="I46" s="1306"/>
      <c r="J46" s="1307"/>
      <c r="K46" s="1307"/>
      <c r="L46" s="1320"/>
      <c r="M46" s="1320"/>
      <c r="N46" s="1320"/>
      <c r="O46" s="1320"/>
      <c r="P46" s="1320"/>
      <c r="Q46" s="1320"/>
      <c r="R46" s="1320"/>
      <c r="S46" s="1320"/>
      <c r="T46" s="1320"/>
      <c r="U46" s="1320"/>
      <c r="V46" s="1306"/>
      <c r="W46" s="1307"/>
      <c r="X46" s="1320"/>
      <c r="Y46" s="1320"/>
      <c r="Z46" s="1320"/>
      <c r="AA46" s="1320"/>
      <c r="AB46" s="1320"/>
      <c r="AC46" s="1320"/>
      <c r="AD46" s="1320"/>
      <c r="AE46" s="1320"/>
      <c r="AF46" s="1320"/>
      <c r="AG46" s="1320"/>
      <c r="AH46" s="1320"/>
      <c r="AI46" s="1306"/>
    </row>
    <row r="47" spans="1:35" x14ac:dyDescent="0.25">
      <c r="A47" s="1306"/>
      <c r="B47" s="1306"/>
      <c r="C47" s="1306"/>
      <c r="D47" s="1306"/>
      <c r="E47" s="1685"/>
      <c r="F47" s="1685"/>
      <c r="G47" s="1685"/>
      <c r="H47" s="1306"/>
      <c r="I47" s="1306"/>
      <c r="J47" s="1307"/>
      <c r="K47" s="1307"/>
      <c r="L47" s="1320"/>
      <c r="M47" s="1320"/>
      <c r="N47" s="1320"/>
      <c r="O47" s="1320"/>
      <c r="P47" s="1320"/>
      <c r="Q47" s="1320"/>
      <c r="R47" s="1320"/>
      <c r="S47" s="1320"/>
      <c r="T47" s="1320"/>
      <c r="U47" s="1320"/>
      <c r="V47" s="1306"/>
      <c r="W47" s="1307"/>
      <c r="X47" s="1320"/>
      <c r="Y47" s="1320"/>
      <c r="Z47" s="1320"/>
      <c r="AA47" s="1320"/>
      <c r="AB47" s="1320"/>
      <c r="AC47" s="1320"/>
      <c r="AD47" s="1320"/>
      <c r="AE47" s="1320"/>
      <c r="AF47" s="1320"/>
      <c r="AG47" s="1320"/>
      <c r="AH47" s="1320"/>
      <c r="AI47" s="1306"/>
    </row>
    <row r="48" spans="1:35" x14ac:dyDescent="0.25">
      <c r="A48" s="1306"/>
      <c r="B48" s="1676" t="s">
        <v>450</v>
      </c>
      <c r="C48" s="1677"/>
      <c r="D48" s="1306"/>
      <c r="E48" s="1676" t="s">
        <v>647</v>
      </c>
      <c r="F48" s="1678"/>
      <c r="G48" s="1678"/>
      <c r="H48" s="1677"/>
      <c r="I48" s="1306"/>
      <c r="J48" s="1307"/>
      <c r="K48" s="1307"/>
      <c r="L48" s="1320"/>
      <c r="M48" s="1320"/>
      <c r="N48" s="1320"/>
      <c r="O48" s="1320"/>
      <c r="P48" s="1320"/>
      <c r="Q48" s="1320"/>
      <c r="R48" s="1320"/>
      <c r="S48" s="1320"/>
      <c r="T48" s="1320"/>
      <c r="U48" s="1320"/>
      <c r="V48" s="1306"/>
      <c r="W48" s="1307"/>
      <c r="X48" s="1320"/>
      <c r="Y48" s="1320"/>
      <c r="Z48" s="1320"/>
      <c r="AA48" s="1320"/>
      <c r="AB48" s="1320"/>
      <c r="AC48" s="1320"/>
      <c r="AD48" s="1320"/>
      <c r="AE48" s="1320"/>
      <c r="AF48" s="1320"/>
      <c r="AG48" s="1320"/>
      <c r="AH48" s="1320"/>
      <c r="AI48" s="1306"/>
    </row>
    <row r="49" spans="1:35" x14ac:dyDescent="0.25">
      <c r="A49" s="1306"/>
      <c r="B49" s="1306"/>
      <c r="C49" s="1306"/>
      <c r="D49" s="1306"/>
      <c r="E49" s="1685"/>
      <c r="F49" s="1685"/>
      <c r="G49" s="1685"/>
      <c r="H49" s="1306"/>
      <c r="I49" s="1306"/>
      <c r="J49" s="1307"/>
      <c r="K49" s="1307"/>
      <c r="L49" s="1320"/>
      <c r="M49" s="1320"/>
      <c r="N49" s="1320"/>
      <c r="O49" s="1320"/>
      <c r="P49" s="1320"/>
      <c r="Q49" s="1320"/>
      <c r="R49" s="1320"/>
      <c r="S49" s="1320"/>
      <c r="T49" s="1320"/>
      <c r="U49" s="1320"/>
      <c r="V49" s="1306"/>
      <c r="W49" s="1307"/>
      <c r="X49" s="1320"/>
      <c r="Y49" s="1320"/>
      <c r="Z49" s="1320"/>
      <c r="AA49" s="1320"/>
      <c r="AB49" s="1320"/>
      <c r="AC49" s="1320"/>
      <c r="AD49" s="1320"/>
      <c r="AE49" s="1320"/>
      <c r="AF49" s="1320"/>
      <c r="AG49" s="1320"/>
      <c r="AH49" s="1320"/>
      <c r="AI49" s="1306"/>
    </row>
    <row r="50" spans="1:35" x14ac:dyDescent="0.25">
      <c r="A50" s="1306"/>
      <c r="B50" s="1676" t="s">
        <v>620</v>
      </c>
      <c r="C50" s="1677"/>
      <c r="D50" s="1306"/>
      <c r="E50" s="1676" t="s">
        <v>644</v>
      </c>
      <c r="F50" s="1678"/>
      <c r="G50" s="1678"/>
      <c r="H50" s="1677"/>
      <c r="I50" s="1306"/>
      <c r="J50" s="1307"/>
      <c r="K50" s="1307"/>
      <c r="L50" s="1320"/>
      <c r="M50" s="1320"/>
      <c r="N50" s="1320"/>
      <c r="O50" s="1320"/>
      <c r="P50" s="1320"/>
      <c r="Q50" s="1320"/>
      <c r="R50" s="1320"/>
      <c r="S50" s="1320"/>
      <c r="T50" s="1320"/>
      <c r="U50" s="1320"/>
      <c r="V50" s="1306"/>
      <c r="W50" s="1307"/>
      <c r="X50" s="1320"/>
      <c r="Y50" s="1320"/>
      <c r="Z50" s="1320"/>
      <c r="AA50" s="1320"/>
      <c r="AB50" s="1320"/>
      <c r="AC50" s="1320"/>
      <c r="AD50" s="1320"/>
      <c r="AE50" s="1320"/>
      <c r="AF50" s="1320"/>
      <c r="AG50" s="1320"/>
      <c r="AH50" s="1320"/>
      <c r="AI50" s="1306"/>
    </row>
    <row r="51" spans="1:35" x14ac:dyDescent="0.25">
      <c r="A51" s="1306"/>
      <c r="B51" s="1306"/>
      <c r="C51" s="1306"/>
      <c r="D51" s="1306"/>
      <c r="E51" s="1306"/>
      <c r="F51" s="1306"/>
      <c r="G51" s="1306"/>
      <c r="H51" s="1306"/>
      <c r="I51" s="1306"/>
      <c r="J51" s="1307"/>
      <c r="K51" s="1307"/>
      <c r="L51" s="1320"/>
      <c r="M51" s="1320"/>
      <c r="N51" s="1320"/>
      <c r="O51" s="1320"/>
      <c r="P51" s="1320"/>
      <c r="Q51" s="1320"/>
      <c r="R51" s="1320"/>
      <c r="S51" s="1320"/>
      <c r="T51" s="1320"/>
      <c r="U51" s="1320"/>
      <c r="V51" s="1306"/>
      <c r="W51" s="1307"/>
      <c r="X51" s="1320"/>
      <c r="Y51" s="1320"/>
      <c r="Z51" s="1320"/>
      <c r="AA51" s="1320"/>
      <c r="AB51" s="1320"/>
      <c r="AC51" s="1320"/>
      <c r="AD51" s="1320"/>
      <c r="AE51" s="1320"/>
      <c r="AF51" s="1320"/>
      <c r="AG51" s="1320"/>
      <c r="AH51" s="1320"/>
      <c r="AI51" s="1306"/>
    </row>
    <row r="52" spans="1:35" x14ac:dyDescent="0.25">
      <c r="A52" s="1306"/>
      <c r="B52" s="1676" t="s">
        <v>621</v>
      </c>
      <c r="C52" s="1677"/>
      <c r="D52" s="1306"/>
      <c r="E52" s="1676" t="s">
        <v>644</v>
      </c>
      <c r="F52" s="1678"/>
      <c r="G52" s="1678"/>
      <c r="H52" s="1677"/>
      <c r="I52" s="1306"/>
      <c r="J52" s="1307"/>
      <c r="K52" s="1307"/>
      <c r="L52" s="1320"/>
      <c r="M52" s="1320"/>
      <c r="N52" s="1320"/>
      <c r="O52" s="1320"/>
      <c r="P52" s="1320"/>
      <c r="Q52" s="1320"/>
      <c r="R52" s="1320"/>
      <c r="S52" s="1320"/>
      <c r="T52" s="1320"/>
      <c r="U52" s="1320"/>
      <c r="V52" s="1306"/>
      <c r="W52" s="1307"/>
      <c r="X52" s="1320"/>
      <c r="Y52" s="1320"/>
      <c r="Z52" s="1320"/>
      <c r="AA52" s="1320"/>
      <c r="AB52" s="1320"/>
      <c r="AC52" s="1320"/>
      <c r="AD52" s="1320"/>
      <c r="AE52" s="1320"/>
      <c r="AF52" s="1320"/>
      <c r="AG52" s="1320"/>
      <c r="AH52" s="1320"/>
      <c r="AI52" s="1306"/>
    </row>
    <row r="53" spans="1:35" x14ac:dyDescent="0.25">
      <c r="A53" s="1306"/>
      <c r="B53" s="1306"/>
      <c r="C53" s="1306"/>
      <c r="D53" s="1306"/>
      <c r="E53" s="1306"/>
      <c r="F53" s="1306"/>
      <c r="G53" s="1306"/>
      <c r="H53" s="1306"/>
      <c r="I53" s="1306"/>
      <c r="J53" s="1307"/>
      <c r="K53" s="1307"/>
      <c r="L53" s="1320"/>
      <c r="M53" s="1320"/>
      <c r="N53" s="1320"/>
      <c r="O53" s="1320"/>
      <c r="P53" s="1320"/>
      <c r="Q53" s="1320"/>
      <c r="R53" s="1320"/>
      <c r="S53" s="1320"/>
      <c r="T53" s="1320"/>
      <c r="U53" s="1320"/>
      <c r="V53" s="1306"/>
      <c r="W53" s="1307"/>
      <c r="X53" s="1320"/>
      <c r="Y53" s="1320"/>
      <c r="Z53" s="1320"/>
      <c r="AA53" s="1320"/>
      <c r="AB53" s="1320"/>
      <c r="AC53" s="1320"/>
      <c r="AD53" s="1320"/>
      <c r="AE53" s="1320"/>
      <c r="AF53" s="1320"/>
      <c r="AG53" s="1320"/>
      <c r="AH53" s="1320"/>
      <c r="AI53" s="1306"/>
    </row>
    <row r="54" spans="1:35" x14ac:dyDescent="0.25">
      <c r="A54" s="1306"/>
      <c r="B54" s="1687" t="s">
        <v>648</v>
      </c>
      <c r="C54" s="1687"/>
      <c r="D54" s="1687"/>
      <c r="E54" s="1687"/>
      <c r="F54" s="1687"/>
      <c r="G54" s="1687"/>
      <c r="H54" s="1687"/>
      <c r="I54" s="1306"/>
      <c r="J54" s="1307"/>
      <c r="K54" s="1307"/>
      <c r="L54" s="1320"/>
      <c r="M54" s="1320"/>
      <c r="N54" s="1320"/>
      <c r="O54" s="1320"/>
      <c r="P54" s="1320"/>
      <c r="Q54" s="1320"/>
      <c r="R54" s="1320"/>
      <c r="S54" s="1320"/>
      <c r="T54" s="1320"/>
      <c r="U54" s="1320"/>
      <c r="V54" s="1306"/>
      <c r="W54" s="1307"/>
      <c r="X54" s="1320"/>
      <c r="Y54" s="1320"/>
      <c r="Z54" s="1320"/>
      <c r="AA54" s="1320"/>
      <c r="AB54" s="1320"/>
      <c r="AC54" s="1320"/>
      <c r="AD54" s="1320"/>
      <c r="AE54" s="1320"/>
      <c r="AF54" s="1320"/>
      <c r="AG54" s="1320"/>
      <c r="AH54" s="1320"/>
      <c r="AI54" s="1306"/>
    </row>
    <row r="55" spans="1:35" x14ac:dyDescent="0.25">
      <c r="A55" s="1306"/>
      <c r="B55" s="1679"/>
      <c r="C55" s="1679"/>
      <c r="D55" s="1679"/>
      <c r="E55" s="1679"/>
      <c r="F55" s="1679"/>
      <c r="G55" s="1679"/>
      <c r="H55" s="1679"/>
      <c r="I55" s="1306"/>
      <c r="J55" s="1307"/>
      <c r="K55" s="1307"/>
      <c r="L55" s="1320"/>
      <c r="M55" s="1320"/>
      <c r="N55" s="1320"/>
      <c r="O55" s="1320"/>
      <c r="P55" s="1320"/>
      <c r="Q55" s="1320"/>
      <c r="R55" s="1320"/>
      <c r="S55" s="1320"/>
      <c r="T55" s="1320"/>
      <c r="U55" s="1320"/>
      <c r="V55" s="1306"/>
      <c r="W55" s="1307"/>
      <c r="X55" s="1320"/>
      <c r="Y55" s="1320"/>
      <c r="Z55" s="1320"/>
      <c r="AA55" s="1320"/>
      <c r="AB55" s="1320"/>
      <c r="AC55" s="1320"/>
      <c r="AD55" s="1320"/>
      <c r="AE55" s="1320"/>
      <c r="AF55" s="1320"/>
      <c r="AG55" s="1320"/>
      <c r="AH55" s="1320"/>
      <c r="AI55" s="1306"/>
    </row>
    <row r="56" spans="1:35" x14ac:dyDescent="0.25">
      <c r="A56" s="1306"/>
      <c r="B56" s="1679" t="s">
        <v>649</v>
      </c>
      <c r="C56" s="1679"/>
      <c r="D56" s="1679"/>
      <c r="E56" s="1679"/>
      <c r="F56" s="1679"/>
      <c r="G56" s="1679"/>
      <c r="H56" s="1679"/>
      <c r="I56" s="1306"/>
      <c r="J56" s="1307"/>
      <c r="K56" s="1307"/>
      <c r="L56" s="1320"/>
      <c r="M56" s="1320"/>
      <c r="N56" s="1320"/>
      <c r="O56" s="1320"/>
      <c r="P56" s="1320"/>
      <c r="Q56" s="1320"/>
      <c r="R56" s="1320"/>
      <c r="S56" s="1320"/>
      <c r="T56" s="1320"/>
      <c r="U56" s="1320"/>
      <c r="V56" s="1306"/>
      <c r="W56" s="1307"/>
      <c r="X56" s="1320"/>
      <c r="Y56" s="1320"/>
      <c r="Z56" s="1320"/>
      <c r="AA56" s="1320"/>
      <c r="AB56" s="1320"/>
      <c r="AC56" s="1320"/>
      <c r="AD56" s="1320"/>
      <c r="AE56" s="1320"/>
      <c r="AF56" s="1320"/>
      <c r="AG56" s="1320"/>
      <c r="AH56" s="1320"/>
      <c r="AI56" s="1306"/>
    </row>
    <row r="57" spans="1:35" x14ac:dyDescent="0.25">
      <c r="A57" s="1306"/>
      <c r="B57" s="1306"/>
      <c r="C57" s="1306"/>
      <c r="D57" s="1306"/>
      <c r="E57" s="1306"/>
      <c r="F57" s="1306"/>
      <c r="G57" s="1306"/>
      <c r="H57" s="1306"/>
      <c r="I57" s="1306"/>
      <c r="J57" s="1307"/>
      <c r="K57" s="1307"/>
      <c r="L57" s="1320"/>
      <c r="M57" s="1320"/>
      <c r="N57" s="1320"/>
      <c r="O57" s="1320"/>
      <c r="P57" s="1320"/>
      <c r="Q57" s="1320"/>
      <c r="R57" s="1320"/>
      <c r="S57" s="1320"/>
      <c r="T57" s="1320"/>
      <c r="U57" s="1320"/>
      <c r="V57" s="1306"/>
      <c r="W57" s="1307"/>
      <c r="X57" s="1320"/>
      <c r="Y57" s="1320"/>
      <c r="Z57" s="1320"/>
      <c r="AA57" s="1320"/>
      <c r="AB57" s="1320"/>
      <c r="AC57" s="1320"/>
      <c r="AD57" s="1320"/>
      <c r="AE57" s="1320"/>
      <c r="AF57" s="1320"/>
      <c r="AG57" s="1320"/>
      <c r="AH57" s="1320"/>
      <c r="AI57" s="1306"/>
    </row>
    <row r="58" spans="1:35" x14ac:dyDescent="0.25">
      <c r="B58" s="1306"/>
      <c r="C58" s="1306"/>
      <c r="D58" s="1306"/>
      <c r="E58" s="1306"/>
      <c r="F58" s="1306"/>
      <c r="G58" s="1306"/>
      <c r="H58" s="1306"/>
      <c r="I58" s="1306"/>
      <c r="J58" s="1307"/>
      <c r="K58" s="1307"/>
      <c r="L58" s="1320"/>
      <c r="M58" s="1320"/>
      <c r="N58" s="1320"/>
      <c r="O58" s="1320"/>
      <c r="P58" s="1320"/>
      <c r="Q58" s="1320"/>
      <c r="R58" s="1320"/>
      <c r="S58" s="1320"/>
      <c r="T58" s="1320"/>
      <c r="U58" s="1320"/>
      <c r="V58" s="1306"/>
      <c r="W58" s="1307"/>
      <c r="X58" s="1320"/>
      <c r="Y58" s="1320"/>
      <c r="Z58" s="1320"/>
      <c r="AA58" s="1320"/>
      <c r="AB58" s="1320"/>
      <c r="AC58" s="1320"/>
      <c r="AD58" s="1320"/>
      <c r="AE58" s="1320"/>
      <c r="AF58" s="1320"/>
      <c r="AG58" s="1320"/>
      <c r="AH58" s="1320"/>
      <c r="AI58" s="1306"/>
    </row>
    <row r="59" spans="1:35" x14ac:dyDescent="0.25">
      <c r="X59" s="1073"/>
      <c r="Y59" s="1073"/>
      <c r="Z59" s="1073"/>
      <c r="AA59" s="1073"/>
      <c r="AB59" s="1073"/>
      <c r="AC59" s="1073"/>
      <c r="AD59" s="1073"/>
      <c r="AE59" s="1073"/>
      <c r="AF59" s="1073"/>
      <c r="AG59" s="1073"/>
      <c r="AH59" s="1073"/>
    </row>
    <row r="60" spans="1:35" x14ac:dyDescent="0.25">
      <c r="X60" s="1073"/>
      <c r="Y60" s="1073"/>
      <c r="Z60" s="1073"/>
      <c r="AA60" s="1073"/>
      <c r="AB60" s="1073"/>
      <c r="AC60" s="1073"/>
      <c r="AD60" s="1073"/>
      <c r="AE60" s="1073"/>
      <c r="AF60" s="1073"/>
      <c r="AG60" s="1073"/>
      <c r="AH60" s="1073"/>
    </row>
    <row r="61" spans="1:35" x14ac:dyDescent="0.25">
      <c r="X61" s="1073"/>
      <c r="Y61" s="1073"/>
      <c r="Z61" s="1073"/>
      <c r="AA61" s="1073"/>
      <c r="AB61" s="1073"/>
      <c r="AC61" s="1073"/>
      <c r="AD61" s="1073"/>
      <c r="AE61" s="1073"/>
      <c r="AF61" s="1073"/>
      <c r="AG61" s="1073"/>
      <c r="AH61" s="1073"/>
    </row>
    <row r="62" spans="1:35" x14ac:dyDescent="0.25">
      <c r="X62" s="1073"/>
      <c r="Y62" s="1073"/>
      <c r="Z62" s="1073"/>
      <c r="AA62" s="1073"/>
      <c r="AB62" s="1073"/>
      <c r="AC62" s="1073"/>
      <c r="AD62" s="1073"/>
      <c r="AE62" s="1073"/>
      <c r="AF62" s="1073"/>
      <c r="AG62" s="1073"/>
      <c r="AH62" s="1073"/>
    </row>
    <row r="63" spans="1:35" x14ac:dyDescent="0.25">
      <c r="X63" s="1073"/>
      <c r="Y63" s="1073"/>
      <c r="Z63" s="1073"/>
      <c r="AA63" s="1073"/>
      <c r="AB63" s="1073"/>
      <c r="AC63" s="1073"/>
      <c r="AD63" s="1073"/>
      <c r="AE63" s="1073"/>
      <c r="AF63" s="1073"/>
      <c r="AG63" s="1073"/>
      <c r="AH63" s="1073"/>
    </row>
    <row r="64" spans="1:35" x14ac:dyDescent="0.25">
      <c r="X64" s="1073"/>
      <c r="Y64" s="1073"/>
      <c r="Z64" s="1073"/>
      <c r="AA64" s="1073"/>
      <c r="AB64" s="1073"/>
      <c r="AC64" s="1073"/>
      <c r="AD64" s="1073"/>
      <c r="AE64" s="1073"/>
      <c r="AF64" s="1073"/>
      <c r="AG64" s="1073"/>
      <c r="AH64" s="1073"/>
    </row>
  </sheetData>
  <mergeCells count="168">
    <mergeCell ref="B56:H56"/>
    <mergeCell ref="E49:G49"/>
    <mergeCell ref="B50:C50"/>
    <mergeCell ref="E50:H50"/>
    <mergeCell ref="B52:C52"/>
    <mergeCell ref="E52:H52"/>
    <mergeCell ref="B54:H55"/>
    <mergeCell ref="E45:G45"/>
    <mergeCell ref="B46:C46"/>
    <mergeCell ref="E46:H46"/>
    <mergeCell ref="E47:G47"/>
    <mergeCell ref="B48:C48"/>
    <mergeCell ref="E48:H48"/>
    <mergeCell ref="B42:C42"/>
    <mergeCell ref="E42:H42"/>
    <mergeCell ref="W42:AH42"/>
    <mergeCell ref="E43:G43"/>
    <mergeCell ref="B44:C44"/>
    <mergeCell ref="E44:H44"/>
    <mergeCell ref="AD38:AE38"/>
    <mergeCell ref="AF38:AG38"/>
    <mergeCell ref="E39:G39"/>
    <mergeCell ref="B40:C40"/>
    <mergeCell ref="E40:H40"/>
    <mergeCell ref="W41:AH41"/>
    <mergeCell ref="E37:G37"/>
    <mergeCell ref="B38:C38"/>
    <mergeCell ref="E38:H38"/>
    <mergeCell ref="X38:Y38"/>
    <mergeCell ref="Z38:AA38"/>
    <mergeCell ref="AB38:AC38"/>
    <mergeCell ref="AB34:AC34"/>
    <mergeCell ref="AD34:AE34"/>
    <mergeCell ref="AF34:AG34"/>
    <mergeCell ref="E35:H35"/>
    <mergeCell ref="L35:U35"/>
    <mergeCell ref="B36:C36"/>
    <mergeCell ref="E36:H36"/>
    <mergeCell ref="W36:AH36"/>
    <mergeCell ref="T33:U33"/>
    <mergeCell ref="B34:H34"/>
    <mergeCell ref="J34:J35"/>
    <mergeCell ref="L34:U34"/>
    <mergeCell ref="X34:Y34"/>
    <mergeCell ref="Z34:AA34"/>
    <mergeCell ref="C32:D32"/>
    <mergeCell ref="F32:G32"/>
    <mergeCell ref="L33:M33"/>
    <mergeCell ref="N33:O33"/>
    <mergeCell ref="P33:Q33"/>
    <mergeCell ref="R33:S33"/>
    <mergeCell ref="AD30:AE30"/>
    <mergeCell ref="AF30:AG30"/>
    <mergeCell ref="C31:D31"/>
    <mergeCell ref="F31:G31"/>
    <mergeCell ref="K31:U31"/>
    <mergeCell ref="C29:D29"/>
    <mergeCell ref="F29:G29"/>
    <mergeCell ref="J29:J30"/>
    <mergeCell ref="C30:D30"/>
    <mergeCell ref="F30:G30"/>
    <mergeCell ref="X30:Y30"/>
    <mergeCell ref="C28:D28"/>
    <mergeCell ref="F28:G28"/>
    <mergeCell ref="L28:M28"/>
    <mergeCell ref="N28:O28"/>
    <mergeCell ref="P28:Q28"/>
    <mergeCell ref="R28:S28"/>
    <mergeCell ref="T28:U28"/>
    <mergeCell ref="Z30:AA30"/>
    <mergeCell ref="AB30:AC30"/>
    <mergeCell ref="Z27:AA27"/>
    <mergeCell ref="AF22:AG22"/>
    <mergeCell ref="B24:C24"/>
    <mergeCell ref="E24:H24"/>
    <mergeCell ref="L24:M24"/>
    <mergeCell ref="N24:O24"/>
    <mergeCell ref="P24:Q24"/>
    <mergeCell ref="R24:S24"/>
    <mergeCell ref="T24:U24"/>
    <mergeCell ref="B22:C22"/>
    <mergeCell ref="E22:H22"/>
    <mergeCell ref="X22:Y22"/>
    <mergeCell ref="Z22:AA22"/>
    <mergeCell ref="AB22:AC22"/>
    <mergeCell ref="AD22:AE22"/>
    <mergeCell ref="AB27:AC27"/>
    <mergeCell ref="AD27:AE27"/>
    <mergeCell ref="AF27:AG27"/>
    <mergeCell ref="E21:G21"/>
    <mergeCell ref="J21:J22"/>
    <mergeCell ref="E17:G17"/>
    <mergeCell ref="J17:J18"/>
    <mergeCell ref="J25:J26"/>
    <mergeCell ref="L25:U25"/>
    <mergeCell ref="B26:H26"/>
    <mergeCell ref="L26:U26"/>
    <mergeCell ref="X27:Y27"/>
    <mergeCell ref="B18:C18"/>
    <mergeCell ref="E18:H18"/>
    <mergeCell ref="E19:G19"/>
    <mergeCell ref="B20:C20"/>
    <mergeCell ref="E20:H20"/>
    <mergeCell ref="B16:C16"/>
    <mergeCell ref="E16:H16"/>
    <mergeCell ref="L16:M16"/>
    <mergeCell ref="N16:O16"/>
    <mergeCell ref="P16:Q16"/>
    <mergeCell ref="R16:S16"/>
    <mergeCell ref="T16:U16"/>
    <mergeCell ref="L20:M20"/>
    <mergeCell ref="N20:O20"/>
    <mergeCell ref="P20:Q20"/>
    <mergeCell ref="R20:S20"/>
    <mergeCell ref="T20:U20"/>
    <mergeCell ref="AF12:AG12"/>
    <mergeCell ref="E13:G13"/>
    <mergeCell ref="J13:J14"/>
    <mergeCell ref="B14:C14"/>
    <mergeCell ref="E14:H14"/>
    <mergeCell ref="E15:G15"/>
    <mergeCell ref="X15:Y15"/>
    <mergeCell ref="Z15:AA15"/>
    <mergeCell ref="AB15:AC15"/>
    <mergeCell ref="AD15:AE15"/>
    <mergeCell ref="R12:S12"/>
    <mergeCell ref="T12:U12"/>
    <mergeCell ref="X12:Y12"/>
    <mergeCell ref="Z12:AA12"/>
    <mergeCell ref="AB12:AC12"/>
    <mergeCell ref="AD12:AE12"/>
    <mergeCell ref="AF15:AG15"/>
    <mergeCell ref="E9:G9"/>
    <mergeCell ref="J9:J10"/>
    <mergeCell ref="B10:C10"/>
    <mergeCell ref="E10:H10"/>
    <mergeCell ref="B12:C12"/>
    <mergeCell ref="E12:H12"/>
    <mergeCell ref="L12:M12"/>
    <mergeCell ref="N12:O12"/>
    <mergeCell ref="P12:Q12"/>
    <mergeCell ref="AF5:AG5"/>
    <mergeCell ref="B6:C6"/>
    <mergeCell ref="E6:H6"/>
    <mergeCell ref="E7:G7"/>
    <mergeCell ref="B8:C8"/>
    <mergeCell ref="E8:H8"/>
    <mergeCell ref="L8:M8"/>
    <mergeCell ref="N8:O8"/>
    <mergeCell ref="P8:Q8"/>
    <mergeCell ref="R8:S8"/>
    <mergeCell ref="E5:H5"/>
    <mergeCell ref="J5:J6"/>
    <mergeCell ref="X5:Y5"/>
    <mergeCell ref="Z5:AA5"/>
    <mergeCell ref="AB5:AC5"/>
    <mergeCell ref="AD5:AE5"/>
    <mergeCell ref="T8:U8"/>
    <mergeCell ref="L1:U2"/>
    <mergeCell ref="W1:AH1"/>
    <mergeCell ref="B2:H2"/>
    <mergeCell ref="W3:AH3"/>
    <mergeCell ref="B4:H4"/>
    <mergeCell ref="L4:M4"/>
    <mergeCell ref="N4:O4"/>
    <mergeCell ref="P4:Q4"/>
    <mergeCell ref="R4:S4"/>
    <mergeCell ref="T4:U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DB56-9898-45B2-80FF-8BF6F7F453DB}">
  <dimension ref="A1:AI117"/>
  <sheetViews>
    <sheetView workbookViewId="0">
      <selection activeCell="H16" sqref="H16"/>
    </sheetView>
  </sheetViews>
  <sheetFormatPr baseColWidth="10" defaultRowHeight="15.75" x14ac:dyDescent="0.25"/>
  <cols>
    <col min="1" max="1" width="3.375" style="1071" customWidth="1"/>
    <col min="2" max="2" width="9.5" style="1071" customWidth="1"/>
    <col min="3" max="3" width="19" style="1071" customWidth="1"/>
    <col min="4" max="4" width="9.25" style="1071" customWidth="1"/>
    <col min="5" max="5" width="7.125" style="1071" customWidth="1"/>
    <col min="6" max="6" width="6.75" style="1071" customWidth="1"/>
    <col min="7" max="7" width="15.375" style="1071" customWidth="1"/>
    <col min="8" max="8" width="21.875" style="1071" customWidth="1"/>
    <col min="9" max="9" width="11" style="1071"/>
    <col min="10" max="10" width="11.125" style="1072" customWidth="1"/>
    <col min="11" max="11" width="20.75" style="1072" customWidth="1"/>
    <col min="12" max="12" width="9.75" style="1072" customWidth="1"/>
    <col min="13" max="13" width="8.875" style="1072" customWidth="1"/>
    <col min="14" max="14" width="9.625" style="1072" customWidth="1"/>
    <col min="15" max="15" width="9.875" style="1072" customWidth="1"/>
    <col min="16" max="17" width="10.125" style="1072" customWidth="1"/>
    <col min="18" max="18" width="5" style="1072" customWidth="1"/>
    <col min="19" max="19" width="8.625" style="1072" customWidth="1"/>
    <col min="20" max="20" width="10.25" style="1072" customWidth="1"/>
    <col min="21" max="21" width="10" style="1072" customWidth="1"/>
    <col min="22" max="22" width="11" style="1071"/>
    <col min="23" max="23" width="19.125" style="1072" customWidth="1"/>
    <col min="24" max="33" width="6.375" style="1072" customWidth="1"/>
    <col min="34" max="34" width="5" style="1072" customWidth="1"/>
    <col min="35" max="257" width="11" style="1071"/>
    <col min="258" max="258" width="9.5" style="1071" customWidth="1"/>
    <col min="259" max="259" width="19" style="1071" customWidth="1"/>
    <col min="260" max="260" width="9.25" style="1071" customWidth="1"/>
    <col min="261" max="261" width="6" style="1071" customWidth="1"/>
    <col min="262" max="262" width="6.75" style="1071" customWidth="1"/>
    <col min="263" max="263" width="15.375" style="1071" customWidth="1"/>
    <col min="264" max="264" width="21.875" style="1071" customWidth="1"/>
    <col min="265" max="265" width="11" style="1071"/>
    <col min="266" max="266" width="11.125" style="1071" customWidth="1"/>
    <col min="267" max="267" width="20.75" style="1071" customWidth="1"/>
    <col min="268" max="277" width="5" style="1071" customWidth="1"/>
    <col min="278" max="278" width="11" style="1071"/>
    <col min="279" max="279" width="19.125" style="1071" customWidth="1"/>
    <col min="280" max="289" width="6.375" style="1071" customWidth="1"/>
    <col min="290" max="290" width="5" style="1071" customWidth="1"/>
    <col min="291" max="513" width="11" style="1071"/>
    <col min="514" max="514" width="9.5" style="1071" customWidth="1"/>
    <col min="515" max="515" width="19" style="1071" customWidth="1"/>
    <col min="516" max="516" width="9.25" style="1071" customWidth="1"/>
    <col min="517" max="517" width="6" style="1071" customWidth="1"/>
    <col min="518" max="518" width="6.75" style="1071" customWidth="1"/>
    <col min="519" max="519" width="15.375" style="1071" customWidth="1"/>
    <col min="520" max="520" width="21.875" style="1071" customWidth="1"/>
    <col min="521" max="521" width="11" style="1071"/>
    <col min="522" max="522" width="11.125" style="1071" customWidth="1"/>
    <col min="523" max="523" width="20.75" style="1071" customWidth="1"/>
    <col min="524" max="533" width="5" style="1071" customWidth="1"/>
    <col min="534" max="534" width="11" style="1071"/>
    <col min="535" max="535" width="19.125" style="1071" customWidth="1"/>
    <col min="536" max="545" width="6.375" style="1071" customWidth="1"/>
    <col min="546" max="546" width="5" style="1071" customWidth="1"/>
    <col min="547" max="769" width="11" style="1071"/>
    <col min="770" max="770" width="9.5" style="1071" customWidth="1"/>
    <col min="771" max="771" width="19" style="1071" customWidth="1"/>
    <col min="772" max="772" width="9.25" style="1071" customWidth="1"/>
    <col min="773" max="773" width="6" style="1071" customWidth="1"/>
    <col min="774" max="774" width="6.75" style="1071" customWidth="1"/>
    <col min="775" max="775" width="15.375" style="1071" customWidth="1"/>
    <col min="776" max="776" width="21.875" style="1071" customWidth="1"/>
    <col min="777" max="777" width="11" style="1071"/>
    <col min="778" max="778" width="11.125" style="1071" customWidth="1"/>
    <col min="779" max="779" width="20.75" style="1071" customWidth="1"/>
    <col min="780" max="789" width="5" style="1071" customWidth="1"/>
    <col min="790" max="790" width="11" style="1071"/>
    <col min="791" max="791" width="19.125" style="1071" customWidth="1"/>
    <col min="792" max="801" width="6.375" style="1071" customWidth="1"/>
    <col min="802" max="802" width="5" style="1071" customWidth="1"/>
    <col min="803" max="1025" width="11" style="1071"/>
    <col min="1026" max="1026" width="9.5" style="1071" customWidth="1"/>
    <col min="1027" max="1027" width="19" style="1071" customWidth="1"/>
    <col min="1028" max="1028" width="9.25" style="1071" customWidth="1"/>
    <col min="1029" max="1029" width="6" style="1071" customWidth="1"/>
    <col min="1030" max="1030" width="6.75" style="1071" customWidth="1"/>
    <col min="1031" max="1031" width="15.375" style="1071" customWidth="1"/>
    <col min="1032" max="1032" width="21.875" style="1071" customWidth="1"/>
    <col min="1033" max="1033" width="11" style="1071"/>
    <col min="1034" max="1034" width="11.125" style="1071" customWidth="1"/>
    <col min="1035" max="1035" width="20.75" style="1071" customWidth="1"/>
    <col min="1036" max="1045" width="5" style="1071" customWidth="1"/>
    <col min="1046" max="1046" width="11" style="1071"/>
    <col min="1047" max="1047" width="19.125" style="1071" customWidth="1"/>
    <col min="1048" max="1057" width="6.375" style="1071" customWidth="1"/>
    <col min="1058" max="1058" width="5" style="1071" customWidth="1"/>
    <col min="1059" max="1281" width="11" style="1071"/>
    <col min="1282" max="1282" width="9.5" style="1071" customWidth="1"/>
    <col min="1283" max="1283" width="19" style="1071" customWidth="1"/>
    <col min="1284" max="1284" width="9.25" style="1071" customWidth="1"/>
    <col min="1285" max="1285" width="6" style="1071" customWidth="1"/>
    <col min="1286" max="1286" width="6.75" style="1071" customWidth="1"/>
    <col min="1287" max="1287" width="15.375" style="1071" customWidth="1"/>
    <col min="1288" max="1288" width="21.875" style="1071" customWidth="1"/>
    <col min="1289" max="1289" width="11" style="1071"/>
    <col min="1290" max="1290" width="11.125" style="1071" customWidth="1"/>
    <col min="1291" max="1291" width="20.75" style="1071" customWidth="1"/>
    <col min="1292" max="1301" width="5" style="1071" customWidth="1"/>
    <col min="1302" max="1302" width="11" style="1071"/>
    <col min="1303" max="1303" width="19.125" style="1071" customWidth="1"/>
    <col min="1304" max="1313" width="6.375" style="1071" customWidth="1"/>
    <col min="1314" max="1314" width="5" style="1071" customWidth="1"/>
    <col min="1315" max="1537" width="11" style="1071"/>
    <col min="1538" max="1538" width="9.5" style="1071" customWidth="1"/>
    <col min="1539" max="1539" width="19" style="1071" customWidth="1"/>
    <col min="1540" max="1540" width="9.25" style="1071" customWidth="1"/>
    <col min="1541" max="1541" width="6" style="1071" customWidth="1"/>
    <col min="1542" max="1542" width="6.75" style="1071" customWidth="1"/>
    <col min="1543" max="1543" width="15.375" style="1071" customWidth="1"/>
    <col min="1544" max="1544" width="21.875" style="1071" customWidth="1"/>
    <col min="1545" max="1545" width="11" style="1071"/>
    <col min="1546" max="1546" width="11.125" style="1071" customWidth="1"/>
    <col min="1547" max="1547" width="20.75" style="1071" customWidth="1"/>
    <col min="1548" max="1557" width="5" style="1071" customWidth="1"/>
    <col min="1558" max="1558" width="11" style="1071"/>
    <col min="1559" max="1559" width="19.125" style="1071" customWidth="1"/>
    <col min="1560" max="1569" width="6.375" style="1071" customWidth="1"/>
    <col min="1570" max="1570" width="5" style="1071" customWidth="1"/>
    <col min="1571" max="1793" width="11" style="1071"/>
    <col min="1794" max="1794" width="9.5" style="1071" customWidth="1"/>
    <col min="1795" max="1795" width="19" style="1071" customWidth="1"/>
    <col min="1796" max="1796" width="9.25" style="1071" customWidth="1"/>
    <col min="1797" max="1797" width="6" style="1071" customWidth="1"/>
    <col min="1798" max="1798" width="6.75" style="1071" customWidth="1"/>
    <col min="1799" max="1799" width="15.375" style="1071" customWidth="1"/>
    <col min="1800" max="1800" width="21.875" style="1071" customWidth="1"/>
    <col min="1801" max="1801" width="11" style="1071"/>
    <col min="1802" max="1802" width="11.125" style="1071" customWidth="1"/>
    <col min="1803" max="1803" width="20.75" style="1071" customWidth="1"/>
    <col min="1804" max="1813" width="5" style="1071" customWidth="1"/>
    <col min="1814" max="1814" width="11" style="1071"/>
    <col min="1815" max="1815" width="19.125" style="1071" customWidth="1"/>
    <col min="1816" max="1825" width="6.375" style="1071" customWidth="1"/>
    <col min="1826" max="1826" width="5" style="1071" customWidth="1"/>
    <col min="1827" max="2049" width="11" style="1071"/>
    <col min="2050" max="2050" width="9.5" style="1071" customWidth="1"/>
    <col min="2051" max="2051" width="19" style="1071" customWidth="1"/>
    <col min="2052" max="2052" width="9.25" style="1071" customWidth="1"/>
    <col min="2053" max="2053" width="6" style="1071" customWidth="1"/>
    <col min="2054" max="2054" width="6.75" style="1071" customWidth="1"/>
    <col min="2055" max="2055" width="15.375" style="1071" customWidth="1"/>
    <col min="2056" max="2056" width="21.875" style="1071" customWidth="1"/>
    <col min="2057" max="2057" width="11" style="1071"/>
    <col min="2058" max="2058" width="11.125" style="1071" customWidth="1"/>
    <col min="2059" max="2059" width="20.75" style="1071" customWidth="1"/>
    <col min="2060" max="2069" width="5" style="1071" customWidth="1"/>
    <col min="2070" max="2070" width="11" style="1071"/>
    <col min="2071" max="2071" width="19.125" style="1071" customWidth="1"/>
    <col min="2072" max="2081" width="6.375" style="1071" customWidth="1"/>
    <col min="2082" max="2082" width="5" style="1071" customWidth="1"/>
    <col min="2083" max="2305" width="11" style="1071"/>
    <col min="2306" max="2306" width="9.5" style="1071" customWidth="1"/>
    <col min="2307" max="2307" width="19" style="1071" customWidth="1"/>
    <col min="2308" max="2308" width="9.25" style="1071" customWidth="1"/>
    <col min="2309" max="2309" width="6" style="1071" customWidth="1"/>
    <col min="2310" max="2310" width="6.75" style="1071" customWidth="1"/>
    <col min="2311" max="2311" width="15.375" style="1071" customWidth="1"/>
    <col min="2312" max="2312" width="21.875" style="1071" customWidth="1"/>
    <col min="2313" max="2313" width="11" style="1071"/>
    <col min="2314" max="2314" width="11.125" style="1071" customWidth="1"/>
    <col min="2315" max="2315" width="20.75" style="1071" customWidth="1"/>
    <col min="2316" max="2325" width="5" style="1071" customWidth="1"/>
    <col min="2326" max="2326" width="11" style="1071"/>
    <col min="2327" max="2327" width="19.125" style="1071" customWidth="1"/>
    <col min="2328" max="2337" width="6.375" style="1071" customWidth="1"/>
    <col min="2338" max="2338" width="5" style="1071" customWidth="1"/>
    <col min="2339" max="2561" width="11" style="1071"/>
    <col min="2562" max="2562" width="9.5" style="1071" customWidth="1"/>
    <col min="2563" max="2563" width="19" style="1071" customWidth="1"/>
    <col min="2564" max="2564" width="9.25" style="1071" customWidth="1"/>
    <col min="2565" max="2565" width="6" style="1071" customWidth="1"/>
    <col min="2566" max="2566" width="6.75" style="1071" customWidth="1"/>
    <col min="2567" max="2567" width="15.375" style="1071" customWidth="1"/>
    <col min="2568" max="2568" width="21.875" style="1071" customWidth="1"/>
    <col min="2569" max="2569" width="11" style="1071"/>
    <col min="2570" max="2570" width="11.125" style="1071" customWidth="1"/>
    <col min="2571" max="2571" width="20.75" style="1071" customWidth="1"/>
    <col min="2572" max="2581" width="5" style="1071" customWidth="1"/>
    <col min="2582" max="2582" width="11" style="1071"/>
    <col min="2583" max="2583" width="19.125" style="1071" customWidth="1"/>
    <col min="2584" max="2593" width="6.375" style="1071" customWidth="1"/>
    <col min="2594" max="2594" width="5" style="1071" customWidth="1"/>
    <col min="2595" max="2817" width="11" style="1071"/>
    <col min="2818" max="2818" width="9.5" style="1071" customWidth="1"/>
    <col min="2819" max="2819" width="19" style="1071" customWidth="1"/>
    <col min="2820" max="2820" width="9.25" style="1071" customWidth="1"/>
    <col min="2821" max="2821" width="6" style="1071" customWidth="1"/>
    <col min="2822" max="2822" width="6.75" style="1071" customWidth="1"/>
    <col min="2823" max="2823" width="15.375" style="1071" customWidth="1"/>
    <col min="2824" max="2824" width="21.875" style="1071" customWidth="1"/>
    <col min="2825" max="2825" width="11" style="1071"/>
    <col min="2826" max="2826" width="11.125" style="1071" customWidth="1"/>
    <col min="2827" max="2827" width="20.75" style="1071" customWidth="1"/>
    <col min="2828" max="2837" width="5" style="1071" customWidth="1"/>
    <col min="2838" max="2838" width="11" style="1071"/>
    <col min="2839" max="2839" width="19.125" style="1071" customWidth="1"/>
    <col min="2840" max="2849" width="6.375" style="1071" customWidth="1"/>
    <col min="2850" max="2850" width="5" style="1071" customWidth="1"/>
    <col min="2851" max="3073" width="11" style="1071"/>
    <col min="3074" max="3074" width="9.5" style="1071" customWidth="1"/>
    <col min="3075" max="3075" width="19" style="1071" customWidth="1"/>
    <col min="3076" max="3076" width="9.25" style="1071" customWidth="1"/>
    <col min="3077" max="3077" width="6" style="1071" customWidth="1"/>
    <col min="3078" max="3078" width="6.75" style="1071" customWidth="1"/>
    <col min="3079" max="3079" width="15.375" style="1071" customWidth="1"/>
    <col min="3080" max="3080" width="21.875" style="1071" customWidth="1"/>
    <col min="3081" max="3081" width="11" style="1071"/>
    <col min="3082" max="3082" width="11.125" style="1071" customWidth="1"/>
    <col min="3083" max="3083" width="20.75" style="1071" customWidth="1"/>
    <col min="3084" max="3093" width="5" style="1071" customWidth="1"/>
    <col min="3094" max="3094" width="11" style="1071"/>
    <col min="3095" max="3095" width="19.125" style="1071" customWidth="1"/>
    <col min="3096" max="3105" width="6.375" style="1071" customWidth="1"/>
    <col min="3106" max="3106" width="5" style="1071" customWidth="1"/>
    <col min="3107" max="3329" width="11" style="1071"/>
    <col min="3330" max="3330" width="9.5" style="1071" customWidth="1"/>
    <col min="3331" max="3331" width="19" style="1071" customWidth="1"/>
    <col min="3332" max="3332" width="9.25" style="1071" customWidth="1"/>
    <col min="3333" max="3333" width="6" style="1071" customWidth="1"/>
    <col min="3334" max="3334" width="6.75" style="1071" customWidth="1"/>
    <col min="3335" max="3335" width="15.375" style="1071" customWidth="1"/>
    <col min="3336" max="3336" width="21.875" style="1071" customWidth="1"/>
    <col min="3337" max="3337" width="11" style="1071"/>
    <col min="3338" max="3338" width="11.125" style="1071" customWidth="1"/>
    <col min="3339" max="3339" width="20.75" style="1071" customWidth="1"/>
    <col min="3340" max="3349" width="5" style="1071" customWidth="1"/>
    <col min="3350" max="3350" width="11" style="1071"/>
    <col min="3351" max="3351" width="19.125" style="1071" customWidth="1"/>
    <col min="3352" max="3361" width="6.375" style="1071" customWidth="1"/>
    <col min="3362" max="3362" width="5" style="1071" customWidth="1"/>
    <col min="3363" max="3585" width="11" style="1071"/>
    <col min="3586" max="3586" width="9.5" style="1071" customWidth="1"/>
    <col min="3587" max="3587" width="19" style="1071" customWidth="1"/>
    <col min="3588" max="3588" width="9.25" style="1071" customWidth="1"/>
    <col min="3589" max="3589" width="6" style="1071" customWidth="1"/>
    <col min="3590" max="3590" width="6.75" style="1071" customWidth="1"/>
    <col min="3591" max="3591" width="15.375" style="1071" customWidth="1"/>
    <col min="3592" max="3592" width="21.875" style="1071" customWidth="1"/>
    <col min="3593" max="3593" width="11" style="1071"/>
    <col min="3594" max="3594" width="11.125" style="1071" customWidth="1"/>
    <col min="3595" max="3595" width="20.75" style="1071" customWidth="1"/>
    <col min="3596" max="3605" width="5" style="1071" customWidth="1"/>
    <col min="3606" max="3606" width="11" style="1071"/>
    <col min="3607" max="3607" width="19.125" style="1071" customWidth="1"/>
    <col min="3608" max="3617" width="6.375" style="1071" customWidth="1"/>
    <col min="3618" max="3618" width="5" style="1071" customWidth="1"/>
    <col min="3619" max="3841" width="11" style="1071"/>
    <col min="3842" max="3842" width="9.5" style="1071" customWidth="1"/>
    <col min="3843" max="3843" width="19" style="1071" customWidth="1"/>
    <col min="3844" max="3844" width="9.25" style="1071" customWidth="1"/>
    <col min="3845" max="3845" width="6" style="1071" customWidth="1"/>
    <col min="3846" max="3846" width="6.75" style="1071" customWidth="1"/>
    <col min="3847" max="3847" width="15.375" style="1071" customWidth="1"/>
    <col min="3848" max="3848" width="21.875" style="1071" customWidth="1"/>
    <col min="3849" max="3849" width="11" style="1071"/>
    <col min="3850" max="3850" width="11.125" style="1071" customWidth="1"/>
    <col min="3851" max="3851" width="20.75" style="1071" customWidth="1"/>
    <col min="3852" max="3861" width="5" style="1071" customWidth="1"/>
    <col min="3862" max="3862" width="11" style="1071"/>
    <col min="3863" max="3863" width="19.125" style="1071" customWidth="1"/>
    <col min="3864" max="3873" width="6.375" style="1071" customWidth="1"/>
    <col min="3874" max="3874" width="5" style="1071" customWidth="1"/>
    <col min="3875" max="4097" width="11" style="1071"/>
    <col min="4098" max="4098" width="9.5" style="1071" customWidth="1"/>
    <col min="4099" max="4099" width="19" style="1071" customWidth="1"/>
    <col min="4100" max="4100" width="9.25" style="1071" customWidth="1"/>
    <col min="4101" max="4101" width="6" style="1071" customWidth="1"/>
    <col min="4102" max="4102" width="6.75" style="1071" customWidth="1"/>
    <col min="4103" max="4103" width="15.375" style="1071" customWidth="1"/>
    <col min="4104" max="4104" width="21.875" style="1071" customWidth="1"/>
    <col min="4105" max="4105" width="11" style="1071"/>
    <col min="4106" max="4106" width="11.125" style="1071" customWidth="1"/>
    <col min="4107" max="4107" width="20.75" style="1071" customWidth="1"/>
    <col min="4108" max="4117" width="5" style="1071" customWidth="1"/>
    <col min="4118" max="4118" width="11" style="1071"/>
    <col min="4119" max="4119" width="19.125" style="1071" customWidth="1"/>
    <col min="4120" max="4129" width="6.375" style="1071" customWidth="1"/>
    <col min="4130" max="4130" width="5" style="1071" customWidth="1"/>
    <col min="4131" max="4353" width="11" style="1071"/>
    <col min="4354" max="4354" width="9.5" style="1071" customWidth="1"/>
    <col min="4355" max="4355" width="19" style="1071" customWidth="1"/>
    <col min="4356" max="4356" width="9.25" style="1071" customWidth="1"/>
    <col min="4357" max="4357" width="6" style="1071" customWidth="1"/>
    <col min="4358" max="4358" width="6.75" style="1071" customWidth="1"/>
    <col min="4359" max="4359" width="15.375" style="1071" customWidth="1"/>
    <col min="4360" max="4360" width="21.875" style="1071" customWidth="1"/>
    <col min="4361" max="4361" width="11" style="1071"/>
    <col min="4362" max="4362" width="11.125" style="1071" customWidth="1"/>
    <col min="4363" max="4363" width="20.75" style="1071" customWidth="1"/>
    <col min="4364" max="4373" width="5" style="1071" customWidth="1"/>
    <col min="4374" max="4374" width="11" style="1071"/>
    <col min="4375" max="4375" width="19.125" style="1071" customWidth="1"/>
    <col min="4376" max="4385" width="6.375" style="1071" customWidth="1"/>
    <col min="4386" max="4386" width="5" style="1071" customWidth="1"/>
    <col min="4387" max="4609" width="11" style="1071"/>
    <col min="4610" max="4610" width="9.5" style="1071" customWidth="1"/>
    <col min="4611" max="4611" width="19" style="1071" customWidth="1"/>
    <col min="4612" max="4612" width="9.25" style="1071" customWidth="1"/>
    <col min="4613" max="4613" width="6" style="1071" customWidth="1"/>
    <col min="4614" max="4614" width="6.75" style="1071" customWidth="1"/>
    <col min="4615" max="4615" width="15.375" style="1071" customWidth="1"/>
    <col min="4616" max="4616" width="21.875" style="1071" customWidth="1"/>
    <col min="4617" max="4617" width="11" style="1071"/>
    <col min="4618" max="4618" width="11.125" style="1071" customWidth="1"/>
    <col min="4619" max="4619" width="20.75" style="1071" customWidth="1"/>
    <col min="4620" max="4629" width="5" style="1071" customWidth="1"/>
    <col min="4630" max="4630" width="11" style="1071"/>
    <col min="4631" max="4631" width="19.125" style="1071" customWidth="1"/>
    <col min="4632" max="4641" width="6.375" style="1071" customWidth="1"/>
    <col min="4642" max="4642" width="5" style="1071" customWidth="1"/>
    <col min="4643" max="4865" width="11" style="1071"/>
    <col min="4866" max="4866" width="9.5" style="1071" customWidth="1"/>
    <col min="4867" max="4867" width="19" style="1071" customWidth="1"/>
    <col min="4868" max="4868" width="9.25" style="1071" customWidth="1"/>
    <col min="4869" max="4869" width="6" style="1071" customWidth="1"/>
    <col min="4870" max="4870" width="6.75" style="1071" customWidth="1"/>
    <col min="4871" max="4871" width="15.375" style="1071" customWidth="1"/>
    <col min="4872" max="4872" width="21.875" style="1071" customWidth="1"/>
    <col min="4873" max="4873" width="11" style="1071"/>
    <col min="4874" max="4874" width="11.125" style="1071" customWidth="1"/>
    <col min="4875" max="4875" width="20.75" style="1071" customWidth="1"/>
    <col min="4876" max="4885" width="5" style="1071" customWidth="1"/>
    <col min="4886" max="4886" width="11" style="1071"/>
    <col min="4887" max="4887" width="19.125" style="1071" customWidth="1"/>
    <col min="4888" max="4897" width="6.375" style="1071" customWidth="1"/>
    <col min="4898" max="4898" width="5" style="1071" customWidth="1"/>
    <col min="4899" max="5121" width="11" style="1071"/>
    <col min="5122" max="5122" width="9.5" style="1071" customWidth="1"/>
    <col min="5123" max="5123" width="19" style="1071" customWidth="1"/>
    <col min="5124" max="5124" width="9.25" style="1071" customWidth="1"/>
    <col min="5125" max="5125" width="6" style="1071" customWidth="1"/>
    <col min="5126" max="5126" width="6.75" style="1071" customWidth="1"/>
    <col min="5127" max="5127" width="15.375" style="1071" customWidth="1"/>
    <col min="5128" max="5128" width="21.875" style="1071" customWidth="1"/>
    <col min="5129" max="5129" width="11" style="1071"/>
    <col min="5130" max="5130" width="11.125" style="1071" customWidth="1"/>
    <col min="5131" max="5131" width="20.75" style="1071" customWidth="1"/>
    <col min="5132" max="5141" width="5" style="1071" customWidth="1"/>
    <col min="5142" max="5142" width="11" style="1071"/>
    <col min="5143" max="5143" width="19.125" style="1071" customWidth="1"/>
    <col min="5144" max="5153" width="6.375" style="1071" customWidth="1"/>
    <col min="5154" max="5154" width="5" style="1071" customWidth="1"/>
    <col min="5155" max="5377" width="11" style="1071"/>
    <col min="5378" max="5378" width="9.5" style="1071" customWidth="1"/>
    <col min="5379" max="5379" width="19" style="1071" customWidth="1"/>
    <col min="5380" max="5380" width="9.25" style="1071" customWidth="1"/>
    <col min="5381" max="5381" width="6" style="1071" customWidth="1"/>
    <col min="5382" max="5382" width="6.75" style="1071" customWidth="1"/>
    <col min="5383" max="5383" width="15.375" style="1071" customWidth="1"/>
    <col min="5384" max="5384" width="21.875" style="1071" customWidth="1"/>
    <col min="5385" max="5385" width="11" style="1071"/>
    <col min="5386" max="5386" width="11.125" style="1071" customWidth="1"/>
    <col min="5387" max="5387" width="20.75" style="1071" customWidth="1"/>
    <col min="5388" max="5397" width="5" style="1071" customWidth="1"/>
    <col min="5398" max="5398" width="11" style="1071"/>
    <col min="5399" max="5399" width="19.125" style="1071" customWidth="1"/>
    <col min="5400" max="5409" width="6.375" style="1071" customWidth="1"/>
    <col min="5410" max="5410" width="5" style="1071" customWidth="1"/>
    <col min="5411" max="5633" width="11" style="1071"/>
    <col min="5634" max="5634" width="9.5" style="1071" customWidth="1"/>
    <col min="5635" max="5635" width="19" style="1071" customWidth="1"/>
    <col min="5636" max="5636" width="9.25" style="1071" customWidth="1"/>
    <col min="5637" max="5637" width="6" style="1071" customWidth="1"/>
    <col min="5638" max="5638" width="6.75" style="1071" customWidth="1"/>
    <col min="5639" max="5639" width="15.375" style="1071" customWidth="1"/>
    <col min="5640" max="5640" width="21.875" style="1071" customWidth="1"/>
    <col min="5641" max="5641" width="11" style="1071"/>
    <col min="5642" max="5642" width="11.125" style="1071" customWidth="1"/>
    <col min="5643" max="5643" width="20.75" style="1071" customWidth="1"/>
    <col min="5644" max="5653" width="5" style="1071" customWidth="1"/>
    <col min="5654" max="5654" width="11" style="1071"/>
    <col min="5655" max="5655" width="19.125" style="1071" customWidth="1"/>
    <col min="5656" max="5665" width="6.375" style="1071" customWidth="1"/>
    <col min="5666" max="5666" width="5" style="1071" customWidth="1"/>
    <col min="5667" max="5889" width="11" style="1071"/>
    <col min="5890" max="5890" width="9.5" style="1071" customWidth="1"/>
    <col min="5891" max="5891" width="19" style="1071" customWidth="1"/>
    <col min="5892" max="5892" width="9.25" style="1071" customWidth="1"/>
    <col min="5893" max="5893" width="6" style="1071" customWidth="1"/>
    <col min="5894" max="5894" width="6.75" style="1071" customWidth="1"/>
    <col min="5895" max="5895" width="15.375" style="1071" customWidth="1"/>
    <col min="5896" max="5896" width="21.875" style="1071" customWidth="1"/>
    <col min="5897" max="5897" width="11" style="1071"/>
    <col min="5898" max="5898" width="11.125" style="1071" customWidth="1"/>
    <col min="5899" max="5899" width="20.75" style="1071" customWidth="1"/>
    <col min="5900" max="5909" width="5" style="1071" customWidth="1"/>
    <col min="5910" max="5910" width="11" style="1071"/>
    <col min="5911" max="5911" width="19.125" style="1071" customWidth="1"/>
    <col min="5912" max="5921" width="6.375" style="1071" customWidth="1"/>
    <col min="5922" max="5922" width="5" style="1071" customWidth="1"/>
    <col min="5923" max="6145" width="11" style="1071"/>
    <col min="6146" max="6146" width="9.5" style="1071" customWidth="1"/>
    <col min="6147" max="6147" width="19" style="1071" customWidth="1"/>
    <col min="6148" max="6148" width="9.25" style="1071" customWidth="1"/>
    <col min="6149" max="6149" width="6" style="1071" customWidth="1"/>
    <col min="6150" max="6150" width="6.75" style="1071" customWidth="1"/>
    <col min="6151" max="6151" width="15.375" style="1071" customWidth="1"/>
    <col min="6152" max="6152" width="21.875" style="1071" customWidth="1"/>
    <col min="6153" max="6153" width="11" style="1071"/>
    <col min="6154" max="6154" width="11.125" style="1071" customWidth="1"/>
    <col min="6155" max="6155" width="20.75" style="1071" customWidth="1"/>
    <col min="6156" max="6165" width="5" style="1071" customWidth="1"/>
    <col min="6166" max="6166" width="11" style="1071"/>
    <col min="6167" max="6167" width="19.125" style="1071" customWidth="1"/>
    <col min="6168" max="6177" width="6.375" style="1071" customWidth="1"/>
    <col min="6178" max="6178" width="5" style="1071" customWidth="1"/>
    <col min="6179" max="6401" width="11" style="1071"/>
    <col min="6402" max="6402" width="9.5" style="1071" customWidth="1"/>
    <col min="6403" max="6403" width="19" style="1071" customWidth="1"/>
    <col min="6404" max="6404" width="9.25" style="1071" customWidth="1"/>
    <col min="6405" max="6405" width="6" style="1071" customWidth="1"/>
    <col min="6406" max="6406" width="6.75" style="1071" customWidth="1"/>
    <col min="6407" max="6407" width="15.375" style="1071" customWidth="1"/>
    <col min="6408" max="6408" width="21.875" style="1071" customWidth="1"/>
    <col min="6409" max="6409" width="11" style="1071"/>
    <col min="6410" max="6410" width="11.125" style="1071" customWidth="1"/>
    <col min="6411" max="6411" width="20.75" style="1071" customWidth="1"/>
    <col min="6412" max="6421" width="5" style="1071" customWidth="1"/>
    <col min="6422" max="6422" width="11" style="1071"/>
    <col min="6423" max="6423" width="19.125" style="1071" customWidth="1"/>
    <col min="6424" max="6433" width="6.375" style="1071" customWidth="1"/>
    <col min="6434" max="6434" width="5" style="1071" customWidth="1"/>
    <col min="6435" max="6657" width="11" style="1071"/>
    <col min="6658" max="6658" width="9.5" style="1071" customWidth="1"/>
    <col min="6659" max="6659" width="19" style="1071" customWidth="1"/>
    <col min="6660" max="6660" width="9.25" style="1071" customWidth="1"/>
    <col min="6661" max="6661" width="6" style="1071" customWidth="1"/>
    <col min="6662" max="6662" width="6.75" style="1071" customWidth="1"/>
    <col min="6663" max="6663" width="15.375" style="1071" customWidth="1"/>
    <col min="6664" max="6664" width="21.875" style="1071" customWidth="1"/>
    <col min="6665" max="6665" width="11" style="1071"/>
    <col min="6666" max="6666" width="11.125" style="1071" customWidth="1"/>
    <col min="6667" max="6667" width="20.75" style="1071" customWidth="1"/>
    <col min="6668" max="6677" width="5" style="1071" customWidth="1"/>
    <col min="6678" max="6678" width="11" style="1071"/>
    <col min="6679" max="6679" width="19.125" style="1071" customWidth="1"/>
    <col min="6680" max="6689" width="6.375" style="1071" customWidth="1"/>
    <col min="6690" max="6690" width="5" style="1071" customWidth="1"/>
    <col min="6691" max="6913" width="11" style="1071"/>
    <col min="6914" max="6914" width="9.5" style="1071" customWidth="1"/>
    <col min="6915" max="6915" width="19" style="1071" customWidth="1"/>
    <col min="6916" max="6916" width="9.25" style="1071" customWidth="1"/>
    <col min="6917" max="6917" width="6" style="1071" customWidth="1"/>
    <col min="6918" max="6918" width="6.75" style="1071" customWidth="1"/>
    <col min="6919" max="6919" width="15.375" style="1071" customWidth="1"/>
    <col min="6920" max="6920" width="21.875" style="1071" customWidth="1"/>
    <col min="6921" max="6921" width="11" style="1071"/>
    <col min="6922" max="6922" width="11.125" style="1071" customWidth="1"/>
    <col min="6923" max="6923" width="20.75" style="1071" customWidth="1"/>
    <col min="6924" max="6933" width="5" style="1071" customWidth="1"/>
    <col min="6934" max="6934" width="11" style="1071"/>
    <col min="6935" max="6935" width="19.125" style="1071" customWidth="1"/>
    <col min="6936" max="6945" width="6.375" style="1071" customWidth="1"/>
    <col min="6946" max="6946" width="5" style="1071" customWidth="1"/>
    <col min="6947" max="7169" width="11" style="1071"/>
    <col min="7170" max="7170" width="9.5" style="1071" customWidth="1"/>
    <col min="7171" max="7171" width="19" style="1071" customWidth="1"/>
    <col min="7172" max="7172" width="9.25" style="1071" customWidth="1"/>
    <col min="7173" max="7173" width="6" style="1071" customWidth="1"/>
    <col min="7174" max="7174" width="6.75" style="1071" customWidth="1"/>
    <col min="7175" max="7175" width="15.375" style="1071" customWidth="1"/>
    <col min="7176" max="7176" width="21.875" style="1071" customWidth="1"/>
    <col min="7177" max="7177" width="11" style="1071"/>
    <col min="7178" max="7178" width="11.125" style="1071" customWidth="1"/>
    <col min="7179" max="7179" width="20.75" style="1071" customWidth="1"/>
    <col min="7180" max="7189" width="5" style="1071" customWidth="1"/>
    <col min="7190" max="7190" width="11" style="1071"/>
    <col min="7191" max="7191" width="19.125" style="1071" customWidth="1"/>
    <col min="7192" max="7201" width="6.375" style="1071" customWidth="1"/>
    <col min="7202" max="7202" width="5" style="1071" customWidth="1"/>
    <col min="7203" max="7425" width="11" style="1071"/>
    <col min="7426" max="7426" width="9.5" style="1071" customWidth="1"/>
    <col min="7427" max="7427" width="19" style="1071" customWidth="1"/>
    <col min="7428" max="7428" width="9.25" style="1071" customWidth="1"/>
    <col min="7429" max="7429" width="6" style="1071" customWidth="1"/>
    <col min="7430" max="7430" width="6.75" style="1071" customWidth="1"/>
    <col min="7431" max="7431" width="15.375" style="1071" customWidth="1"/>
    <col min="7432" max="7432" width="21.875" style="1071" customWidth="1"/>
    <col min="7433" max="7433" width="11" style="1071"/>
    <col min="7434" max="7434" width="11.125" style="1071" customWidth="1"/>
    <col min="7435" max="7435" width="20.75" style="1071" customWidth="1"/>
    <col min="7436" max="7445" width="5" style="1071" customWidth="1"/>
    <col min="7446" max="7446" width="11" style="1071"/>
    <col min="7447" max="7447" width="19.125" style="1071" customWidth="1"/>
    <col min="7448" max="7457" width="6.375" style="1071" customWidth="1"/>
    <col min="7458" max="7458" width="5" style="1071" customWidth="1"/>
    <col min="7459" max="7681" width="11" style="1071"/>
    <col min="7682" max="7682" width="9.5" style="1071" customWidth="1"/>
    <col min="7683" max="7683" width="19" style="1071" customWidth="1"/>
    <col min="7684" max="7684" width="9.25" style="1071" customWidth="1"/>
    <col min="7685" max="7685" width="6" style="1071" customWidth="1"/>
    <col min="7686" max="7686" width="6.75" style="1071" customWidth="1"/>
    <col min="7687" max="7687" width="15.375" style="1071" customWidth="1"/>
    <col min="7688" max="7688" width="21.875" style="1071" customWidth="1"/>
    <col min="7689" max="7689" width="11" style="1071"/>
    <col min="7690" max="7690" width="11.125" style="1071" customWidth="1"/>
    <col min="7691" max="7691" width="20.75" style="1071" customWidth="1"/>
    <col min="7692" max="7701" width="5" style="1071" customWidth="1"/>
    <col min="7702" max="7702" width="11" style="1071"/>
    <col min="7703" max="7703" width="19.125" style="1071" customWidth="1"/>
    <col min="7704" max="7713" width="6.375" style="1071" customWidth="1"/>
    <col min="7714" max="7714" width="5" style="1071" customWidth="1"/>
    <col min="7715" max="7937" width="11" style="1071"/>
    <col min="7938" max="7938" width="9.5" style="1071" customWidth="1"/>
    <col min="7939" max="7939" width="19" style="1071" customWidth="1"/>
    <col min="7940" max="7940" width="9.25" style="1071" customWidth="1"/>
    <col min="7941" max="7941" width="6" style="1071" customWidth="1"/>
    <col min="7942" max="7942" width="6.75" style="1071" customWidth="1"/>
    <col min="7943" max="7943" width="15.375" style="1071" customWidth="1"/>
    <col min="7944" max="7944" width="21.875" style="1071" customWidth="1"/>
    <col min="7945" max="7945" width="11" style="1071"/>
    <col min="7946" max="7946" width="11.125" style="1071" customWidth="1"/>
    <col min="7947" max="7947" width="20.75" style="1071" customWidth="1"/>
    <col min="7948" max="7957" width="5" style="1071" customWidth="1"/>
    <col min="7958" max="7958" width="11" style="1071"/>
    <col min="7959" max="7959" width="19.125" style="1071" customWidth="1"/>
    <col min="7960" max="7969" width="6.375" style="1071" customWidth="1"/>
    <col min="7970" max="7970" width="5" style="1071" customWidth="1"/>
    <col min="7971" max="8193" width="11" style="1071"/>
    <col min="8194" max="8194" width="9.5" style="1071" customWidth="1"/>
    <col min="8195" max="8195" width="19" style="1071" customWidth="1"/>
    <col min="8196" max="8196" width="9.25" style="1071" customWidth="1"/>
    <col min="8197" max="8197" width="6" style="1071" customWidth="1"/>
    <col min="8198" max="8198" width="6.75" style="1071" customWidth="1"/>
    <col min="8199" max="8199" width="15.375" style="1071" customWidth="1"/>
    <col min="8200" max="8200" width="21.875" style="1071" customWidth="1"/>
    <col min="8201" max="8201" width="11" style="1071"/>
    <col min="8202" max="8202" width="11.125" style="1071" customWidth="1"/>
    <col min="8203" max="8203" width="20.75" style="1071" customWidth="1"/>
    <col min="8204" max="8213" width="5" style="1071" customWidth="1"/>
    <col min="8214" max="8214" width="11" style="1071"/>
    <col min="8215" max="8215" width="19.125" style="1071" customWidth="1"/>
    <col min="8216" max="8225" width="6.375" style="1071" customWidth="1"/>
    <col min="8226" max="8226" width="5" style="1071" customWidth="1"/>
    <col min="8227" max="8449" width="11" style="1071"/>
    <col min="8450" max="8450" width="9.5" style="1071" customWidth="1"/>
    <col min="8451" max="8451" width="19" style="1071" customWidth="1"/>
    <col min="8452" max="8452" width="9.25" style="1071" customWidth="1"/>
    <col min="8453" max="8453" width="6" style="1071" customWidth="1"/>
    <col min="8454" max="8454" width="6.75" style="1071" customWidth="1"/>
    <col min="8455" max="8455" width="15.375" style="1071" customWidth="1"/>
    <col min="8456" max="8456" width="21.875" style="1071" customWidth="1"/>
    <col min="8457" max="8457" width="11" style="1071"/>
    <col min="8458" max="8458" width="11.125" style="1071" customWidth="1"/>
    <col min="8459" max="8459" width="20.75" style="1071" customWidth="1"/>
    <col min="8460" max="8469" width="5" style="1071" customWidth="1"/>
    <col min="8470" max="8470" width="11" style="1071"/>
    <col min="8471" max="8471" width="19.125" style="1071" customWidth="1"/>
    <col min="8472" max="8481" width="6.375" style="1071" customWidth="1"/>
    <col min="8482" max="8482" width="5" style="1071" customWidth="1"/>
    <col min="8483" max="8705" width="11" style="1071"/>
    <col min="8706" max="8706" width="9.5" style="1071" customWidth="1"/>
    <col min="8707" max="8707" width="19" style="1071" customWidth="1"/>
    <col min="8708" max="8708" width="9.25" style="1071" customWidth="1"/>
    <col min="8709" max="8709" width="6" style="1071" customWidth="1"/>
    <col min="8710" max="8710" width="6.75" style="1071" customWidth="1"/>
    <col min="8711" max="8711" width="15.375" style="1071" customWidth="1"/>
    <col min="8712" max="8712" width="21.875" style="1071" customWidth="1"/>
    <col min="8713" max="8713" width="11" style="1071"/>
    <col min="8714" max="8714" width="11.125" style="1071" customWidth="1"/>
    <col min="8715" max="8715" width="20.75" style="1071" customWidth="1"/>
    <col min="8716" max="8725" width="5" style="1071" customWidth="1"/>
    <col min="8726" max="8726" width="11" style="1071"/>
    <col min="8727" max="8727" width="19.125" style="1071" customWidth="1"/>
    <col min="8728" max="8737" width="6.375" style="1071" customWidth="1"/>
    <col min="8738" max="8738" width="5" style="1071" customWidth="1"/>
    <col min="8739" max="8961" width="11" style="1071"/>
    <col min="8962" max="8962" width="9.5" style="1071" customWidth="1"/>
    <col min="8963" max="8963" width="19" style="1071" customWidth="1"/>
    <col min="8964" max="8964" width="9.25" style="1071" customWidth="1"/>
    <col min="8965" max="8965" width="6" style="1071" customWidth="1"/>
    <col min="8966" max="8966" width="6.75" style="1071" customWidth="1"/>
    <col min="8967" max="8967" width="15.375" style="1071" customWidth="1"/>
    <col min="8968" max="8968" width="21.875" style="1071" customWidth="1"/>
    <col min="8969" max="8969" width="11" style="1071"/>
    <col min="8970" max="8970" width="11.125" style="1071" customWidth="1"/>
    <col min="8971" max="8971" width="20.75" style="1071" customWidth="1"/>
    <col min="8972" max="8981" width="5" style="1071" customWidth="1"/>
    <col min="8982" max="8982" width="11" style="1071"/>
    <col min="8983" max="8983" width="19.125" style="1071" customWidth="1"/>
    <col min="8984" max="8993" width="6.375" style="1071" customWidth="1"/>
    <col min="8994" max="8994" width="5" style="1071" customWidth="1"/>
    <col min="8995" max="9217" width="11" style="1071"/>
    <col min="9218" max="9218" width="9.5" style="1071" customWidth="1"/>
    <col min="9219" max="9219" width="19" style="1071" customWidth="1"/>
    <col min="9220" max="9220" width="9.25" style="1071" customWidth="1"/>
    <col min="9221" max="9221" width="6" style="1071" customWidth="1"/>
    <col min="9222" max="9222" width="6.75" style="1071" customWidth="1"/>
    <col min="9223" max="9223" width="15.375" style="1071" customWidth="1"/>
    <col min="9224" max="9224" width="21.875" style="1071" customWidth="1"/>
    <col min="9225" max="9225" width="11" style="1071"/>
    <col min="9226" max="9226" width="11.125" style="1071" customWidth="1"/>
    <col min="9227" max="9227" width="20.75" style="1071" customWidth="1"/>
    <col min="9228" max="9237" width="5" style="1071" customWidth="1"/>
    <col min="9238" max="9238" width="11" style="1071"/>
    <col min="9239" max="9239" width="19.125" style="1071" customWidth="1"/>
    <col min="9240" max="9249" width="6.375" style="1071" customWidth="1"/>
    <col min="9250" max="9250" width="5" style="1071" customWidth="1"/>
    <col min="9251" max="9473" width="11" style="1071"/>
    <col min="9474" max="9474" width="9.5" style="1071" customWidth="1"/>
    <col min="9475" max="9475" width="19" style="1071" customWidth="1"/>
    <col min="9476" max="9476" width="9.25" style="1071" customWidth="1"/>
    <col min="9477" max="9477" width="6" style="1071" customWidth="1"/>
    <col min="9478" max="9478" width="6.75" style="1071" customWidth="1"/>
    <col min="9479" max="9479" width="15.375" style="1071" customWidth="1"/>
    <col min="9480" max="9480" width="21.875" style="1071" customWidth="1"/>
    <col min="9481" max="9481" width="11" style="1071"/>
    <col min="9482" max="9482" width="11.125" style="1071" customWidth="1"/>
    <col min="9483" max="9483" width="20.75" style="1071" customWidth="1"/>
    <col min="9484" max="9493" width="5" style="1071" customWidth="1"/>
    <col min="9494" max="9494" width="11" style="1071"/>
    <col min="9495" max="9495" width="19.125" style="1071" customWidth="1"/>
    <col min="9496" max="9505" width="6.375" style="1071" customWidth="1"/>
    <col min="9506" max="9506" width="5" style="1071" customWidth="1"/>
    <col min="9507" max="9729" width="11" style="1071"/>
    <col min="9730" max="9730" width="9.5" style="1071" customWidth="1"/>
    <col min="9731" max="9731" width="19" style="1071" customWidth="1"/>
    <col min="9732" max="9732" width="9.25" style="1071" customWidth="1"/>
    <col min="9733" max="9733" width="6" style="1071" customWidth="1"/>
    <col min="9734" max="9734" width="6.75" style="1071" customWidth="1"/>
    <col min="9735" max="9735" width="15.375" style="1071" customWidth="1"/>
    <col min="9736" max="9736" width="21.875" style="1071" customWidth="1"/>
    <col min="9737" max="9737" width="11" style="1071"/>
    <col min="9738" max="9738" width="11.125" style="1071" customWidth="1"/>
    <col min="9739" max="9739" width="20.75" style="1071" customWidth="1"/>
    <col min="9740" max="9749" width="5" style="1071" customWidth="1"/>
    <col min="9750" max="9750" width="11" style="1071"/>
    <col min="9751" max="9751" width="19.125" style="1071" customWidth="1"/>
    <col min="9752" max="9761" width="6.375" style="1071" customWidth="1"/>
    <col min="9762" max="9762" width="5" style="1071" customWidth="1"/>
    <col min="9763" max="9985" width="11" style="1071"/>
    <col min="9986" max="9986" width="9.5" style="1071" customWidth="1"/>
    <col min="9987" max="9987" width="19" style="1071" customWidth="1"/>
    <col min="9988" max="9988" width="9.25" style="1071" customWidth="1"/>
    <col min="9989" max="9989" width="6" style="1071" customWidth="1"/>
    <col min="9990" max="9990" width="6.75" style="1071" customWidth="1"/>
    <col min="9991" max="9991" width="15.375" style="1071" customWidth="1"/>
    <col min="9992" max="9992" width="21.875" style="1071" customWidth="1"/>
    <col min="9993" max="9993" width="11" style="1071"/>
    <col min="9994" max="9994" width="11.125" style="1071" customWidth="1"/>
    <col min="9995" max="9995" width="20.75" style="1071" customWidth="1"/>
    <col min="9996" max="10005" width="5" style="1071" customWidth="1"/>
    <col min="10006" max="10006" width="11" style="1071"/>
    <col min="10007" max="10007" width="19.125" style="1071" customWidth="1"/>
    <col min="10008" max="10017" width="6.375" style="1071" customWidth="1"/>
    <col min="10018" max="10018" width="5" style="1071" customWidth="1"/>
    <col min="10019" max="10241" width="11" style="1071"/>
    <col min="10242" max="10242" width="9.5" style="1071" customWidth="1"/>
    <col min="10243" max="10243" width="19" style="1071" customWidth="1"/>
    <col min="10244" max="10244" width="9.25" style="1071" customWidth="1"/>
    <col min="10245" max="10245" width="6" style="1071" customWidth="1"/>
    <col min="10246" max="10246" width="6.75" style="1071" customWidth="1"/>
    <col min="10247" max="10247" width="15.375" style="1071" customWidth="1"/>
    <col min="10248" max="10248" width="21.875" style="1071" customWidth="1"/>
    <col min="10249" max="10249" width="11" style="1071"/>
    <col min="10250" max="10250" width="11.125" style="1071" customWidth="1"/>
    <col min="10251" max="10251" width="20.75" style="1071" customWidth="1"/>
    <col min="10252" max="10261" width="5" style="1071" customWidth="1"/>
    <col min="10262" max="10262" width="11" style="1071"/>
    <col min="10263" max="10263" width="19.125" style="1071" customWidth="1"/>
    <col min="10264" max="10273" width="6.375" style="1071" customWidth="1"/>
    <col min="10274" max="10274" width="5" style="1071" customWidth="1"/>
    <col min="10275" max="10497" width="11" style="1071"/>
    <col min="10498" max="10498" width="9.5" style="1071" customWidth="1"/>
    <col min="10499" max="10499" width="19" style="1071" customWidth="1"/>
    <col min="10500" max="10500" width="9.25" style="1071" customWidth="1"/>
    <col min="10501" max="10501" width="6" style="1071" customWidth="1"/>
    <col min="10502" max="10502" width="6.75" style="1071" customWidth="1"/>
    <col min="10503" max="10503" width="15.375" style="1071" customWidth="1"/>
    <col min="10504" max="10504" width="21.875" style="1071" customWidth="1"/>
    <col min="10505" max="10505" width="11" style="1071"/>
    <col min="10506" max="10506" width="11.125" style="1071" customWidth="1"/>
    <col min="10507" max="10507" width="20.75" style="1071" customWidth="1"/>
    <col min="10508" max="10517" width="5" style="1071" customWidth="1"/>
    <col min="10518" max="10518" width="11" style="1071"/>
    <col min="10519" max="10519" width="19.125" style="1071" customWidth="1"/>
    <col min="10520" max="10529" width="6.375" style="1071" customWidth="1"/>
    <col min="10530" max="10530" width="5" style="1071" customWidth="1"/>
    <col min="10531" max="10753" width="11" style="1071"/>
    <col min="10754" max="10754" width="9.5" style="1071" customWidth="1"/>
    <col min="10755" max="10755" width="19" style="1071" customWidth="1"/>
    <col min="10756" max="10756" width="9.25" style="1071" customWidth="1"/>
    <col min="10757" max="10757" width="6" style="1071" customWidth="1"/>
    <col min="10758" max="10758" width="6.75" style="1071" customWidth="1"/>
    <col min="10759" max="10759" width="15.375" style="1071" customWidth="1"/>
    <col min="10760" max="10760" width="21.875" style="1071" customWidth="1"/>
    <col min="10761" max="10761" width="11" style="1071"/>
    <col min="10762" max="10762" width="11.125" style="1071" customWidth="1"/>
    <col min="10763" max="10763" width="20.75" style="1071" customWidth="1"/>
    <col min="10764" max="10773" width="5" style="1071" customWidth="1"/>
    <col min="10774" max="10774" width="11" style="1071"/>
    <col min="10775" max="10775" width="19.125" style="1071" customWidth="1"/>
    <col min="10776" max="10785" width="6.375" style="1071" customWidth="1"/>
    <col min="10786" max="10786" width="5" style="1071" customWidth="1"/>
    <col min="10787" max="11009" width="11" style="1071"/>
    <col min="11010" max="11010" width="9.5" style="1071" customWidth="1"/>
    <col min="11011" max="11011" width="19" style="1071" customWidth="1"/>
    <col min="11012" max="11012" width="9.25" style="1071" customWidth="1"/>
    <col min="11013" max="11013" width="6" style="1071" customWidth="1"/>
    <col min="11014" max="11014" width="6.75" style="1071" customWidth="1"/>
    <col min="11015" max="11015" width="15.375" style="1071" customWidth="1"/>
    <col min="11016" max="11016" width="21.875" style="1071" customWidth="1"/>
    <col min="11017" max="11017" width="11" style="1071"/>
    <col min="11018" max="11018" width="11.125" style="1071" customWidth="1"/>
    <col min="11019" max="11019" width="20.75" style="1071" customWidth="1"/>
    <col min="11020" max="11029" width="5" style="1071" customWidth="1"/>
    <col min="11030" max="11030" width="11" style="1071"/>
    <col min="11031" max="11031" width="19.125" style="1071" customWidth="1"/>
    <col min="11032" max="11041" width="6.375" style="1071" customWidth="1"/>
    <col min="11042" max="11042" width="5" style="1071" customWidth="1"/>
    <col min="11043" max="11265" width="11" style="1071"/>
    <col min="11266" max="11266" width="9.5" style="1071" customWidth="1"/>
    <col min="11267" max="11267" width="19" style="1071" customWidth="1"/>
    <col min="11268" max="11268" width="9.25" style="1071" customWidth="1"/>
    <col min="11269" max="11269" width="6" style="1071" customWidth="1"/>
    <col min="11270" max="11270" width="6.75" style="1071" customWidth="1"/>
    <col min="11271" max="11271" width="15.375" style="1071" customWidth="1"/>
    <col min="11272" max="11272" width="21.875" style="1071" customWidth="1"/>
    <col min="11273" max="11273" width="11" style="1071"/>
    <col min="11274" max="11274" width="11.125" style="1071" customWidth="1"/>
    <col min="11275" max="11275" width="20.75" style="1071" customWidth="1"/>
    <col min="11276" max="11285" width="5" style="1071" customWidth="1"/>
    <col min="11286" max="11286" width="11" style="1071"/>
    <col min="11287" max="11287" width="19.125" style="1071" customWidth="1"/>
    <col min="11288" max="11297" width="6.375" style="1071" customWidth="1"/>
    <col min="11298" max="11298" width="5" style="1071" customWidth="1"/>
    <col min="11299" max="11521" width="11" style="1071"/>
    <col min="11522" max="11522" width="9.5" style="1071" customWidth="1"/>
    <col min="11523" max="11523" width="19" style="1071" customWidth="1"/>
    <col min="11524" max="11524" width="9.25" style="1071" customWidth="1"/>
    <col min="11525" max="11525" width="6" style="1071" customWidth="1"/>
    <col min="11526" max="11526" width="6.75" style="1071" customWidth="1"/>
    <col min="11527" max="11527" width="15.375" style="1071" customWidth="1"/>
    <col min="11528" max="11528" width="21.875" style="1071" customWidth="1"/>
    <col min="11529" max="11529" width="11" style="1071"/>
    <col min="11530" max="11530" width="11.125" style="1071" customWidth="1"/>
    <col min="11531" max="11531" width="20.75" style="1071" customWidth="1"/>
    <col min="11532" max="11541" width="5" style="1071" customWidth="1"/>
    <col min="11542" max="11542" width="11" style="1071"/>
    <col min="11543" max="11543" width="19.125" style="1071" customWidth="1"/>
    <col min="11544" max="11553" width="6.375" style="1071" customWidth="1"/>
    <col min="11554" max="11554" width="5" style="1071" customWidth="1"/>
    <col min="11555" max="11777" width="11" style="1071"/>
    <col min="11778" max="11778" width="9.5" style="1071" customWidth="1"/>
    <col min="11779" max="11779" width="19" style="1071" customWidth="1"/>
    <col min="11780" max="11780" width="9.25" style="1071" customWidth="1"/>
    <col min="11781" max="11781" width="6" style="1071" customWidth="1"/>
    <col min="11782" max="11782" width="6.75" style="1071" customWidth="1"/>
    <col min="11783" max="11783" width="15.375" style="1071" customWidth="1"/>
    <col min="11784" max="11784" width="21.875" style="1071" customWidth="1"/>
    <col min="11785" max="11785" width="11" style="1071"/>
    <col min="11786" max="11786" width="11.125" style="1071" customWidth="1"/>
    <col min="11787" max="11787" width="20.75" style="1071" customWidth="1"/>
    <col min="11788" max="11797" width="5" style="1071" customWidth="1"/>
    <col min="11798" max="11798" width="11" style="1071"/>
    <col min="11799" max="11799" width="19.125" style="1071" customWidth="1"/>
    <col min="11800" max="11809" width="6.375" style="1071" customWidth="1"/>
    <col min="11810" max="11810" width="5" style="1071" customWidth="1"/>
    <col min="11811" max="12033" width="11" style="1071"/>
    <col min="12034" max="12034" width="9.5" style="1071" customWidth="1"/>
    <col min="12035" max="12035" width="19" style="1071" customWidth="1"/>
    <col min="12036" max="12036" width="9.25" style="1071" customWidth="1"/>
    <col min="12037" max="12037" width="6" style="1071" customWidth="1"/>
    <col min="12038" max="12038" width="6.75" style="1071" customWidth="1"/>
    <col min="12039" max="12039" width="15.375" style="1071" customWidth="1"/>
    <col min="12040" max="12040" width="21.875" style="1071" customWidth="1"/>
    <col min="12041" max="12041" width="11" style="1071"/>
    <col min="12042" max="12042" width="11.125" style="1071" customWidth="1"/>
    <col min="12043" max="12043" width="20.75" style="1071" customWidth="1"/>
    <col min="12044" max="12053" width="5" style="1071" customWidth="1"/>
    <col min="12054" max="12054" width="11" style="1071"/>
    <col min="12055" max="12055" width="19.125" style="1071" customWidth="1"/>
    <col min="12056" max="12065" width="6.375" style="1071" customWidth="1"/>
    <col min="12066" max="12066" width="5" style="1071" customWidth="1"/>
    <col min="12067" max="12289" width="11" style="1071"/>
    <col min="12290" max="12290" width="9.5" style="1071" customWidth="1"/>
    <col min="12291" max="12291" width="19" style="1071" customWidth="1"/>
    <col min="12292" max="12292" width="9.25" style="1071" customWidth="1"/>
    <col min="12293" max="12293" width="6" style="1071" customWidth="1"/>
    <col min="12294" max="12294" width="6.75" style="1071" customWidth="1"/>
    <col min="12295" max="12295" width="15.375" style="1071" customWidth="1"/>
    <col min="12296" max="12296" width="21.875" style="1071" customWidth="1"/>
    <col min="12297" max="12297" width="11" style="1071"/>
    <col min="12298" max="12298" width="11.125" style="1071" customWidth="1"/>
    <col min="12299" max="12299" width="20.75" style="1071" customWidth="1"/>
    <col min="12300" max="12309" width="5" style="1071" customWidth="1"/>
    <col min="12310" max="12310" width="11" style="1071"/>
    <col min="12311" max="12311" width="19.125" style="1071" customWidth="1"/>
    <col min="12312" max="12321" width="6.375" style="1071" customWidth="1"/>
    <col min="12322" max="12322" width="5" style="1071" customWidth="1"/>
    <col min="12323" max="12545" width="11" style="1071"/>
    <col min="12546" max="12546" width="9.5" style="1071" customWidth="1"/>
    <col min="12547" max="12547" width="19" style="1071" customWidth="1"/>
    <col min="12548" max="12548" width="9.25" style="1071" customWidth="1"/>
    <col min="12549" max="12549" width="6" style="1071" customWidth="1"/>
    <col min="12550" max="12550" width="6.75" style="1071" customWidth="1"/>
    <col min="12551" max="12551" width="15.375" style="1071" customWidth="1"/>
    <col min="12552" max="12552" width="21.875" style="1071" customWidth="1"/>
    <col min="12553" max="12553" width="11" style="1071"/>
    <col min="12554" max="12554" width="11.125" style="1071" customWidth="1"/>
    <col min="12555" max="12555" width="20.75" style="1071" customWidth="1"/>
    <col min="12556" max="12565" width="5" style="1071" customWidth="1"/>
    <col min="12566" max="12566" width="11" style="1071"/>
    <col min="12567" max="12567" width="19.125" style="1071" customWidth="1"/>
    <col min="12568" max="12577" width="6.375" style="1071" customWidth="1"/>
    <col min="12578" max="12578" width="5" style="1071" customWidth="1"/>
    <col min="12579" max="12801" width="11" style="1071"/>
    <col min="12802" max="12802" width="9.5" style="1071" customWidth="1"/>
    <col min="12803" max="12803" width="19" style="1071" customWidth="1"/>
    <col min="12804" max="12804" width="9.25" style="1071" customWidth="1"/>
    <col min="12805" max="12805" width="6" style="1071" customWidth="1"/>
    <col min="12806" max="12806" width="6.75" style="1071" customWidth="1"/>
    <col min="12807" max="12807" width="15.375" style="1071" customWidth="1"/>
    <col min="12808" max="12808" width="21.875" style="1071" customWidth="1"/>
    <col min="12809" max="12809" width="11" style="1071"/>
    <col min="12810" max="12810" width="11.125" style="1071" customWidth="1"/>
    <col min="12811" max="12811" width="20.75" style="1071" customWidth="1"/>
    <col min="12812" max="12821" width="5" style="1071" customWidth="1"/>
    <col min="12822" max="12822" width="11" style="1071"/>
    <col min="12823" max="12823" width="19.125" style="1071" customWidth="1"/>
    <col min="12824" max="12833" width="6.375" style="1071" customWidth="1"/>
    <col min="12834" max="12834" width="5" style="1071" customWidth="1"/>
    <col min="12835" max="13057" width="11" style="1071"/>
    <col min="13058" max="13058" width="9.5" style="1071" customWidth="1"/>
    <col min="13059" max="13059" width="19" style="1071" customWidth="1"/>
    <col min="13060" max="13060" width="9.25" style="1071" customWidth="1"/>
    <col min="13061" max="13061" width="6" style="1071" customWidth="1"/>
    <col min="13062" max="13062" width="6.75" style="1071" customWidth="1"/>
    <col min="13063" max="13063" width="15.375" style="1071" customWidth="1"/>
    <col min="13064" max="13064" width="21.875" style="1071" customWidth="1"/>
    <col min="13065" max="13065" width="11" style="1071"/>
    <col min="13066" max="13066" width="11.125" style="1071" customWidth="1"/>
    <col min="13067" max="13067" width="20.75" style="1071" customWidth="1"/>
    <col min="13068" max="13077" width="5" style="1071" customWidth="1"/>
    <col min="13078" max="13078" width="11" style="1071"/>
    <col min="13079" max="13079" width="19.125" style="1071" customWidth="1"/>
    <col min="13080" max="13089" width="6.375" style="1071" customWidth="1"/>
    <col min="13090" max="13090" width="5" style="1071" customWidth="1"/>
    <col min="13091" max="13313" width="11" style="1071"/>
    <col min="13314" max="13314" width="9.5" style="1071" customWidth="1"/>
    <col min="13315" max="13315" width="19" style="1071" customWidth="1"/>
    <col min="13316" max="13316" width="9.25" style="1071" customWidth="1"/>
    <col min="13317" max="13317" width="6" style="1071" customWidth="1"/>
    <col min="13318" max="13318" width="6.75" style="1071" customWidth="1"/>
    <col min="13319" max="13319" width="15.375" style="1071" customWidth="1"/>
    <col min="13320" max="13320" width="21.875" style="1071" customWidth="1"/>
    <col min="13321" max="13321" width="11" style="1071"/>
    <col min="13322" max="13322" width="11.125" style="1071" customWidth="1"/>
    <col min="13323" max="13323" width="20.75" style="1071" customWidth="1"/>
    <col min="13324" max="13333" width="5" style="1071" customWidth="1"/>
    <col min="13334" max="13334" width="11" style="1071"/>
    <col min="13335" max="13335" width="19.125" style="1071" customWidth="1"/>
    <col min="13336" max="13345" width="6.375" style="1071" customWidth="1"/>
    <col min="13346" max="13346" width="5" style="1071" customWidth="1"/>
    <col min="13347" max="13569" width="11" style="1071"/>
    <col min="13570" max="13570" width="9.5" style="1071" customWidth="1"/>
    <col min="13571" max="13571" width="19" style="1071" customWidth="1"/>
    <col min="13572" max="13572" width="9.25" style="1071" customWidth="1"/>
    <col min="13573" max="13573" width="6" style="1071" customWidth="1"/>
    <col min="13574" max="13574" width="6.75" style="1071" customWidth="1"/>
    <col min="13575" max="13575" width="15.375" style="1071" customWidth="1"/>
    <col min="13576" max="13576" width="21.875" style="1071" customWidth="1"/>
    <col min="13577" max="13577" width="11" style="1071"/>
    <col min="13578" max="13578" width="11.125" style="1071" customWidth="1"/>
    <col min="13579" max="13579" width="20.75" style="1071" customWidth="1"/>
    <col min="13580" max="13589" width="5" style="1071" customWidth="1"/>
    <col min="13590" max="13590" width="11" style="1071"/>
    <col min="13591" max="13591" width="19.125" style="1071" customWidth="1"/>
    <col min="13592" max="13601" width="6.375" style="1071" customWidth="1"/>
    <col min="13602" max="13602" width="5" style="1071" customWidth="1"/>
    <col min="13603" max="13825" width="11" style="1071"/>
    <col min="13826" max="13826" width="9.5" style="1071" customWidth="1"/>
    <col min="13827" max="13827" width="19" style="1071" customWidth="1"/>
    <col min="13828" max="13828" width="9.25" style="1071" customWidth="1"/>
    <col min="13829" max="13829" width="6" style="1071" customWidth="1"/>
    <col min="13830" max="13830" width="6.75" style="1071" customWidth="1"/>
    <col min="13831" max="13831" width="15.375" style="1071" customWidth="1"/>
    <col min="13832" max="13832" width="21.875" style="1071" customWidth="1"/>
    <col min="13833" max="13833" width="11" style="1071"/>
    <col min="13834" max="13834" width="11.125" style="1071" customWidth="1"/>
    <col min="13835" max="13835" width="20.75" style="1071" customWidth="1"/>
    <col min="13836" max="13845" width="5" style="1071" customWidth="1"/>
    <col min="13846" max="13846" width="11" style="1071"/>
    <col min="13847" max="13847" width="19.125" style="1071" customWidth="1"/>
    <col min="13848" max="13857" width="6.375" style="1071" customWidth="1"/>
    <col min="13858" max="13858" width="5" style="1071" customWidth="1"/>
    <col min="13859" max="14081" width="11" style="1071"/>
    <col min="14082" max="14082" width="9.5" style="1071" customWidth="1"/>
    <col min="14083" max="14083" width="19" style="1071" customWidth="1"/>
    <col min="14084" max="14084" width="9.25" style="1071" customWidth="1"/>
    <col min="14085" max="14085" width="6" style="1071" customWidth="1"/>
    <col min="14086" max="14086" width="6.75" style="1071" customWidth="1"/>
    <col min="14087" max="14087" width="15.375" style="1071" customWidth="1"/>
    <col min="14088" max="14088" width="21.875" style="1071" customWidth="1"/>
    <col min="14089" max="14089" width="11" style="1071"/>
    <col min="14090" max="14090" width="11.125" style="1071" customWidth="1"/>
    <col min="14091" max="14091" width="20.75" style="1071" customWidth="1"/>
    <col min="14092" max="14101" width="5" style="1071" customWidth="1"/>
    <col min="14102" max="14102" width="11" style="1071"/>
    <col min="14103" max="14103" width="19.125" style="1071" customWidth="1"/>
    <col min="14104" max="14113" width="6.375" style="1071" customWidth="1"/>
    <col min="14114" max="14114" width="5" style="1071" customWidth="1"/>
    <col min="14115" max="14337" width="11" style="1071"/>
    <col min="14338" max="14338" width="9.5" style="1071" customWidth="1"/>
    <col min="14339" max="14339" width="19" style="1071" customWidth="1"/>
    <col min="14340" max="14340" width="9.25" style="1071" customWidth="1"/>
    <col min="14341" max="14341" width="6" style="1071" customWidth="1"/>
    <col min="14342" max="14342" width="6.75" style="1071" customWidth="1"/>
    <col min="14343" max="14343" width="15.375" style="1071" customWidth="1"/>
    <col min="14344" max="14344" width="21.875" style="1071" customWidth="1"/>
    <col min="14345" max="14345" width="11" style="1071"/>
    <col min="14346" max="14346" width="11.125" style="1071" customWidth="1"/>
    <col min="14347" max="14347" width="20.75" style="1071" customWidth="1"/>
    <col min="14348" max="14357" width="5" style="1071" customWidth="1"/>
    <col min="14358" max="14358" width="11" style="1071"/>
    <col min="14359" max="14359" width="19.125" style="1071" customWidth="1"/>
    <col min="14360" max="14369" width="6.375" style="1071" customWidth="1"/>
    <col min="14370" max="14370" width="5" style="1071" customWidth="1"/>
    <col min="14371" max="14593" width="11" style="1071"/>
    <col min="14594" max="14594" width="9.5" style="1071" customWidth="1"/>
    <col min="14595" max="14595" width="19" style="1071" customWidth="1"/>
    <col min="14596" max="14596" width="9.25" style="1071" customWidth="1"/>
    <col min="14597" max="14597" width="6" style="1071" customWidth="1"/>
    <col min="14598" max="14598" width="6.75" style="1071" customWidth="1"/>
    <col min="14599" max="14599" width="15.375" style="1071" customWidth="1"/>
    <col min="14600" max="14600" width="21.875" style="1071" customWidth="1"/>
    <col min="14601" max="14601" width="11" style="1071"/>
    <col min="14602" max="14602" width="11.125" style="1071" customWidth="1"/>
    <col min="14603" max="14603" width="20.75" style="1071" customWidth="1"/>
    <col min="14604" max="14613" width="5" style="1071" customWidth="1"/>
    <col min="14614" max="14614" width="11" style="1071"/>
    <col min="14615" max="14615" width="19.125" style="1071" customWidth="1"/>
    <col min="14616" max="14625" width="6.375" style="1071" customWidth="1"/>
    <col min="14626" max="14626" width="5" style="1071" customWidth="1"/>
    <col min="14627" max="14849" width="11" style="1071"/>
    <col min="14850" max="14850" width="9.5" style="1071" customWidth="1"/>
    <col min="14851" max="14851" width="19" style="1071" customWidth="1"/>
    <col min="14852" max="14852" width="9.25" style="1071" customWidth="1"/>
    <col min="14853" max="14853" width="6" style="1071" customWidth="1"/>
    <col min="14854" max="14854" width="6.75" style="1071" customWidth="1"/>
    <col min="14855" max="14855" width="15.375" style="1071" customWidth="1"/>
    <col min="14856" max="14856" width="21.875" style="1071" customWidth="1"/>
    <col min="14857" max="14857" width="11" style="1071"/>
    <col min="14858" max="14858" width="11.125" style="1071" customWidth="1"/>
    <col min="14859" max="14859" width="20.75" style="1071" customWidth="1"/>
    <col min="14860" max="14869" width="5" style="1071" customWidth="1"/>
    <col min="14870" max="14870" width="11" style="1071"/>
    <col min="14871" max="14871" width="19.125" style="1071" customWidth="1"/>
    <col min="14872" max="14881" width="6.375" style="1071" customWidth="1"/>
    <col min="14882" max="14882" width="5" style="1071" customWidth="1"/>
    <col min="14883" max="15105" width="11" style="1071"/>
    <col min="15106" max="15106" width="9.5" style="1071" customWidth="1"/>
    <col min="15107" max="15107" width="19" style="1071" customWidth="1"/>
    <col min="15108" max="15108" width="9.25" style="1071" customWidth="1"/>
    <col min="15109" max="15109" width="6" style="1071" customWidth="1"/>
    <col min="15110" max="15110" width="6.75" style="1071" customWidth="1"/>
    <col min="15111" max="15111" width="15.375" style="1071" customWidth="1"/>
    <col min="15112" max="15112" width="21.875" style="1071" customWidth="1"/>
    <col min="15113" max="15113" width="11" style="1071"/>
    <col min="15114" max="15114" width="11.125" style="1071" customWidth="1"/>
    <col min="15115" max="15115" width="20.75" style="1071" customWidth="1"/>
    <col min="15116" max="15125" width="5" style="1071" customWidth="1"/>
    <col min="15126" max="15126" width="11" style="1071"/>
    <col min="15127" max="15127" width="19.125" style="1071" customWidth="1"/>
    <col min="15128" max="15137" width="6.375" style="1071" customWidth="1"/>
    <col min="15138" max="15138" width="5" style="1071" customWidth="1"/>
    <col min="15139" max="15361" width="11" style="1071"/>
    <col min="15362" max="15362" width="9.5" style="1071" customWidth="1"/>
    <col min="15363" max="15363" width="19" style="1071" customWidth="1"/>
    <col min="15364" max="15364" width="9.25" style="1071" customWidth="1"/>
    <col min="15365" max="15365" width="6" style="1071" customWidth="1"/>
    <col min="15366" max="15366" width="6.75" style="1071" customWidth="1"/>
    <col min="15367" max="15367" width="15.375" style="1071" customWidth="1"/>
    <col min="15368" max="15368" width="21.875" style="1071" customWidth="1"/>
    <col min="15369" max="15369" width="11" style="1071"/>
    <col min="15370" max="15370" width="11.125" style="1071" customWidth="1"/>
    <col min="15371" max="15371" width="20.75" style="1071" customWidth="1"/>
    <col min="15372" max="15381" width="5" style="1071" customWidth="1"/>
    <col min="15382" max="15382" width="11" style="1071"/>
    <col min="15383" max="15383" width="19.125" style="1071" customWidth="1"/>
    <col min="15384" max="15393" width="6.375" style="1071" customWidth="1"/>
    <col min="15394" max="15394" width="5" style="1071" customWidth="1"/>
    <col min="15395" max="15617" width="11" style="1071"/>
    <col min="15618" max="15618" width="9.5" style="1071" customWidth="1"/>
    <col min="15619" max="15619" width="19" style="1071" customWidth="1"/>
    <col min="15620" max="15620" width="9.25" style="1071" customWidth="1"/>
    <col min="15621" max="15621" width="6" style="1071" customWidth="1"/>
    <col min="15622" max="15622" width="6.75" style="1071" customWidth="1"/>
    <col min="15623" max="15623" width="15.375" style="1071" customWidth="1"/>
    <col min="15624" max="15624" width="21.875" style="1071" customWidth="1"/>
    <col min="15625" max="15625" width="11" style="1071"/>
    <col min="15626" max="15626" width="11.125" style="1071" customWidth="1"/>
    <col min="15627" max="15627" width="20.75" style="1071" customWidth="1"/>
    <col min="15628" max="15637" width="5" style="1071" customWidth="1"/>
    <col min="15638" max="15638" width="11" style="1071"/>
    <col min="15639" max="15639" width="19.125" style="1071" customWidth="1"/>
    <col min="15640" max="15649" width="6.375" style="1071" customWidth="1"/>
    <col min="15650" max="15650" width="5" style="1071" customWidth="1"/>
    <col min="15651" max="15873" width="11" style="1071"/>
    <col min="15874" max="15874" width="9.5" style="1071" customWidth="1"/>
    <col min="15875" max="15875" width="19" style="1071" customWidth="1"/>
    <col min="15876" max="15876" width="9.25" style="1071" customWidth="1"/>
    <col min="15877" max="15877" width="6" style="1071" customWidth="1"/>
    <col min="15878" max="15878" width="6.75" style="1071" customWidth="1"/>
    <col min="15879" max="15879" width="15.375" style="1071" customWidth="1"/>
    <col min="15880" max="15880" width="21.875" style="1071" customWidth="1"/>
    <col min="15881" max="15881" width="11" style="1071"/>
    <col min="15882" max="15882" width="11.125" style="1071" customWidth="1"/>
    <col min="15883" max="15883" width="20.75" style="1071" customWidth="1"/>
    <col min="15884" max="15893" width="5" style="1071" customWidth="1"/>
    <col min="15894" max="15894" width="11" style="1071"/>
    <col min="15895" max="15895" width="19.125" style="1071" customWidth="1"/>
    <col min="15896" max="15905" width="6.375" style="1071" customWidth="1"/>
    <col min="15906" max="15906" width="5" style="1071" customWidth="1"/>
    <col min="15907" max="16129" width="11" style="1071"/>
    <col min="16130" max="16130" width="9.5" style="1071" customWidth="1"/>
    <col min="16131" max="16131" width="19" style="1071" customWidth="1"/>
    <col min="16132" max="16132" width="9.25" style="1071" customWidth="1"/>
    <col min="16133" max="16133" width="6" style="1071" customWidth="1"/>
    <col min="16134" max="16134" width="6.75" style="1071" customWidth="1"/>
    <col min="16135" max="16135" width="15.375" style="1071" customWidth="1"/>
    <col min="16136" max="16136" width="21.875" style="1071" customWidth="1"/>
    <col min="16137" max="16137" width="11" style="1071"/>
    <col min="16138" max="16138" width="11.125" style="1071" customWidth="1"/>
    <col min="16139" max="16139" width="20.75" style="1071" customWidth="1"/>
    <col min="16140" max="16149" width="5" style="1071" customWidth="1"/>
    <col min="16150" max="16150" width="11" style="1071"/>
    <col min="16151" max="16151" width="19.125" style="1071" customWidth="1"/>
    <col min="16152" max="16161" width="6.375" style="1071" customWidth="1"/>
    <col min="16162" max="16162" width="5" style="1071" customWidth="1"/>
    <col min="16163" max="16384" width="11" style="1071"/>
  </cols>
  <sheetData>
    <row r="1" spans="1:35" x14ac:dyDescent="0.25">
      <c r="A1" s="1464"/>
      <c r="B1" s="1464"/>
      <c r="C1" s="1464"/>
      <c r="D1" s="1464"/>
      <c r="E1" s="1464"/>
      <c r="F1" s="1464"/>
      <c r="G1" s="1464"/>
      <c r="H1" s="1464"/>
      <c r="I1" s="1464"/>
      <c r="J1" s="1307"/>
      <c r="K1" s="1307"/>
      <c r="L1" s="1465"/>
      <c r="M1" s="1465"/>
      <c r="N1" s="1465"/>
      <c r="O1" s="1465"/>
      <c r="P1" s="1465"/>
      <c r="Q1" s="1465"/>
      <c r="R1" s="1465"/>
      <c r="S1" s="1465"/>
      <c r="T1" s="1465"/>
      <c r="U1" s="1465"/>
      <c r="V1" s="1464"/>
      <c r="W1" s="1307"/>
      <c r="X1" s="1465"/>
      <c r="Y1" s="1465"/>
      <c r="Z1" s="1465"/>
      <c r="AA1" s="1465"/>
      <c r="AB1" s="1465"/>
      <c r="AC1" s="1465"/>
      <c r="AD1" s="1465"/>
      <c r="AE1" s="1465"/>
      <c r="AF1" s="1465"/>
      <c r="AG1" s="1465"/>
      <c r="AH1" s="1465"/>
      <c r="AI1" s="1464"/>
    </row>
    <row r="2" spans="1:35" ht="16.5" thickBot="1" x14ac:dyDescent="0.3">
      <c r="B2" s="1464"/>
      <c r="C2" s="1464"/>
      <c r="D2" s="1464"/>
      <c r="E2" s="1464"/>
      <c r="F2" s="1464"/>
      <c r="G2" s="1464"/>
      <c r="H2" s="1464"/>
      <c r="I2" s="1464"/>
      <c r="J2" s="1307"/>
      <c r="K2" s="1307"/>
      <c r="L2" s="1465"/>
      <c r="M2" s="1465"/>
      <c r="N2" s="1465"/>
      <c r="O2" s="1465"/>
      <c r="P2" s="1465"/>
      <c r="Q2" s="1465"/>
      <c r="R2" s="1465"/>
      <c r="S2" s="1465"/>
      <c r="T2" s="1465"/>
      <c r="U2" s="1465"/>
      <c r="V2" s="1464"/>
      <c r="W2" s="1307"/>
      <c r="X2" s="1465"/>
      <c r="Y2" s="1465"/>
      <c r="Z2" s="1465"/>
      <c r="AA2" s="1465"/>
      <c r="AB2" s="1465"/>
      <c r="AC2" s="1465"/>
      <c r="AD2" s="1465"/>
      <c r="AE2" s="1465"/>
      <c r="AF2" s="1465"/>
      <c r="AG2" s="1465"/>
      <c r="AH2" s="1465"/>
      <c r="AI2" s="1464"/>
    </row>
    <row r="3" spans="1:35" s="1070" customFormat="1" ht="39.950000000000003" customHeight="1" x14ac:dyDescent="0.45">
      <c r="B3" s="1237"/>
      <c r="C3" s="1185" t="s">
        <v>986</v>
      </c>
      <c r="D3" s="1185"/>
      <c r="E3" s="1185"/>
      <c r="F3" s="1185"/>
      <c r="G3" s="1185"/>
      <c r="H3" s="1185"/>
      <c r="I3" s="1185"/>
      <c r="J3" s="1185"/>
      <c r="K3" s="1185"/>
      <c r="L3" s="1185"/>
      <c r="M3" s="1185"/>
      <c r="N3" s="1185"/>
      <c r="O3" s="1185"/>
      <c r="P3" s="1185"/>
      <c r="Q3" s="1185"/>
      <c r="R3" s="1185"/>
      <c r="S3" s="1185"/>
      <c r="T3" s="1185"/>
      <c r="U3" s="1185"/>
      <c r="V3" s="1185"/>
      <c r="W3" s="1238"/>
      <c r="X3" s="1239"/>
    </row>
    <row r="4" spans="1:35" s="1070" customFormat="1" ht="28.5" customHeight="1" x14ac:dyDescent="0.2">
      <c r="B4" s="1188"/>
      <c r="C4" s="1189" t="s">
        <v>574</v>
      </c>
      <c r="D4" s="1225">
        <v>0.3125</v>
      </c>
      <c r="E4" s="1225">
        <v>0.35416666666666669</v>
      </c>
      <c r="F4" s="1225"/>
      <c r="G4" s="1225"/>
      <c r="H4" s="1225"/>
      <c r="I4" s="1225">
        <v>0.5</v>
      </c>
      <c r="J4" s="1225">
        <v>0.52083333333333337</v>
      </c>
      <c r="K4" s="1225">
        <v>0.54166666666666663</v>
      </c>
      <c r="L4" s="1225">
        <v>0.5625</v>
      </c>
      <c r="M4" s="1225">
        <v>0.59375</v>
      </c>
      <c r="N4" s="1225">
        <v>0.60416666666666663</v>
      </c>
      <c r="O4" s="1225">
        <v>0.66666666666666696</v>
      </c>
      <c r="P4" s="1225">
        <v>0.70833333333333337</v>
      </c>
      <c r="Q4" s="1225">
        <v>0.72916666666666663</v>
      </c>
      <c r="R4" s="1225"/>
      <c r="S4" s="1225">
        <v>0.75</v>
      </c>
      <c r="T4" s="1225">
        <v>0.76041666666666663</v>
      </c>
      <c r="U4" s="1225">
        <v>0.77083333333333337</v>
      </c>
      <c r="V4" s="1226"/>
      <c r="W4" s="1225">
        <v>0.89583333333333337</v>
      </c>
      <c r="X4" s="1192"/>
    </row>
    <row r="5" spans="1:35" s="1070" customFormat="1" ht="15" customHeight="1" x14ac:dyDescent="0.2">
      <c r="B5" s="1188"/>
      <c r="C5" s="1193"/>
      <c r="K5" s="1194"/>
      <c r="L5" s="1194"/>
      <c r="M5" s="1194"/>
      <c r="N5" s="1194"/>
      <c r="O5" s="1194"/>
      <c r="P5" s="1194"/>
      <c r="Q5" s="1195"/>
      <c r="R5" s="1195"/>
      <c r="S5" s="1195"/>
      <c r="T5" s="1195"/>
      <c r="U5" s="1195"/>
      <c r="V5" s="1195"/>
      <c r="W5" s="1195"/>
      <c r="X5" s="1192"/>
    </row>
    <row r="6" spans="1:35" s="1070" customFormat="1" ht="26.1" customHeight="1" x14ac:dyDescent="0.2">
      <c r="B6" s="1188"/>
      <c r="C6" s="1232" t="s">
        <v>915</v>
      </c>
      <c r="D6" s="1233">
        <v>0.3125</v>
      </c>
      <c r="E6" s="1198"/>
      <c r="F6" s="1227">
        <f>J6-D6</f>
        <v>0.20833333333333337</v>
      </c>
      <c r="G6" s="1199" t="s">
        <v>575</v>
      </c>
      <c r="H6" s="1199"/>
      <c r="I6" s="1199"/>
      <c r="J6" s="1234">
        <v>0.52083333333333337</v>
      </c>
      <c r="K6" s="1201" t="s">
        <v>576</v>
      </c>
      <c r="L6" s="1195"/>
      <c r="M6" s="1195"/>
      <c r="N6" s="1195"/>
      <c r="O6" s="1195"/>
      <c r="P6" s="1195"/>
      <c r="Q6" s="1195"/>
      <c r="R6" s="1195"/>
      <c r="S6" s="1195"/>
      <c r="T6" s="1195"/>
      <c r="U6" s="1195"/>
      <c r="V6" s="1195"/>
      <c r="W6" s="1202"/>
      <c r="X6" s="1192"/>
    </row>
    <row r="7" spans="1:35" s="1070" customFormat="1" ht="15" customHeight="1" x14ac:dyDescent="0.2">
      <c r="B7" s="1188"/>
      <c r="C7" s="1193"/>
      <c r="K7" s="1194"/>
      <c r="L7" s="1194"/>
      <c r="M7" s="1194"/>
      <c r="N7" s="1194"/>
      <c r="O7" s="1194"/>
      <c r="P7" s="1194"/>
      <c r="Q7" s="1195"/>
      <c r="R7" s="1195"/>
      <c r="S7" s="1195"/>
      <c r="T7" s="1195"/>
      <c r="U7" s="1195"/>
      <c r="V7" s="1195"/>
      <c r="W7" s="1195"/>
      <c r="X7" s="1192"/>
    </row>
    <row r="8" spans="1:35" s="1070" customFormat="1" ht="26.1" customHeight="1" x14ac:dyDescent="0.2">
      <c r="B8" s="1188"/>
      <c r="C8" s="1203"/>
      <c r="D8" s="1196" t="s">
        <v>914</v>
      </c>
      <c r="E8" s="1233">
        <v>0.35416666666666669</v>
      </c>
      <c r="F8" s="1198"/>
      <c r="G8" s="1198"/>
      <c r="H8" s="1198"/>
      <c r="I8" s="1231">
        <f>P8-E8</f>
        <v>0.35416666666666669</v>
      </c>
      <c r="J8" s="1199" t="s">
        <v>577</v>
      </c>
      <c r="K8" s="1204"/>
      <c r="L8" s="1204"/>
      <c r="M8" s="1204"/>
      <c r="N8" s="1204"/>
      <c r="O8" s="1204"/>
      <c r="P8" s="1234">
        <v>0.70833333333333337</v>
      </c>
      <c r="Q8" s="1205" t="s">
        <v>578</v>
      </c>
      <c r="R8" s="1195"/>
      <c r="S8" s="1195"/>
      <c r="T8" s="1195"/>
      <c r="U8" s="1195"/>
      <c r="V8" s="1195"/>
      <c r="W8" s="1202"/>
      <c r="X8" s="1192"/>
    </row>
    <row r="9" spans="1:35" s="1070" customFormat="1" ht="15" customHeight="1" x14ac:dyDescent="0.2">
      <c r="B9" s="1188"/>
      <c r="C9" s="1193"/>
      <c r="K9" s="1194"/>
      <c r="L9" s="1194"/>
      <c r="M9" s="1194"/>
      <c r="N9" s="1194"/>
      <c r="O9" s="1194"/>
      <c r="P9" s="1194"/>
      <c r="Q9" s="1195"/>
      <c r="R9" s="1195"/>
      <c r="S9" s="1195"/>
      <c r="T9" s="1195"/>
      <c r="U9" s="1195"/>
      <c r="V9" s="1195"/>
      <c r="W9" s="1195"/>
      <c r="X9" s="1192"/>
    </row>
    <row r="10" spans="1:35" s="1070" customFormat="1" ht="26.1" customHeight="1" x14ac:dyDescent="0.2">
      <c r="B10" s="1188"/>
      <c r="C10" s="1203"/>
      <c r="D10" s="1195"/>
      <c r="E10" s="1195"/>
      <c r="F10" s="1195"/>
      <c r="G10" s="1195"/>
      <c r="H10" s="1195"/>
      <c r="I10" s="1195"/>
      <c r="J10" s="1195"/>
      <c r="K10" s="1195"/>
      <c r="L10" s="1195"/>
      <c r="M10" s="1195"/>
      <c r="N10" s="1206" t="s">
        <v>579</v>
      </c>
      <c r="O10" s="1207" t="s">
        <v>983</v>
      </c>
      <c r="P10" s="1233">
        <v>0.70833333333333337</v>
      </c>
      <c r="Q10" s="1198"/>
      <c r="R10" s="1198"/>
      <c r="S10" s="1231">
        <f>W10-P10</f>
        <v>0.1875</v>
      </c>
      <c r="T10" s="1199" t="s">
        <v>577</v>
      </c>
      <c r="U10" s="1199"/>
      <c r="V10" s="1204"/>
      <c r="W10" s="1234">
        <v>0.89583333333333337</v>
      </c>
      <c r="X10" s="1192"/>
    </row>
    <row r="11" spans="1:35" s="1070" customFormat="1" ht="15" customHeight="1" x14ac:dyDescent="0.2">
      <c r="B11" s="1188"/>
      <c r="C11" s="1193"/>
      <c r="K11" s="1194"/>
      <c r="L11" s="1194"/>
      <c r="M11" s="1194"/>
      <c r="N11" s="1194"/>
      <c r="O11" s="1194"/>
      <c r="P11" s="1194"/>
      <c r="Q11" s="1195"/>
      <c r="R11" s="1195"/>
      <c r="S11" s="1195"/>
      <c r="T11" s="1195"/>
      <c r="U11" s="1195"/>
      <c r="V11" s="1195"/>
      <c r="W11" s="1195"/>
      <c r="X11" s="1192"/>
    </row>
    <row r="12" spans="1:35" s="1070" customFormat="1" ht="26.1" customHeight="1" x14ac:dyDescent="0.2">
      <c r="B12" s="1188"/>
      <c r="C12" s="1203"/>
      <c r="D12" s="1195"/>
      <c r="E12" s="1195"/>
      <c r="F12" s="1195"/>
      <c r="G12" s="1195"/>
      <c r="H12" s="1195"/>
      <c r="I12" s="1206" t="s">
        <v>580</v>
      </c>
      <c r="J12" s="1208" t="s">
        <v>557</v>
      </c>
      <c r="K12" s="1197">
        <v>0.54166666666666663</v>
      </c>
      <c r="L12" s="1198"/>
      <c r="M12" s="1199"/>
      <c r="N12" s="1199"/>
      <c r="O12" s="1231">
        <f>W12-K12</f>
        <v>0.35416666666666674</v>
      </c>
      <c r="P12" s="1199" t="s">
        <v>577</v>
      </c>
      <c r="Q12" s="1204"/>
      <c r="R12" s="1204"/>
      <c r="S12" s="1204"/>
      <c r="T12" s="1204"/>
      <c r="U12" s="1204"/>
      <c r="V12" s="1204"/>
      <c r="W12" s="1200">
        <v>0.89583333333333337</v>
      </c>
      <c r="X12" s="1192"/>
    </row>
    <row r="13" spans="1:35" s="1070" customFormat="1" ht="15" customHeight="1" x14ac:dyDescent="0.2">
      <c r="B13" s="1188"/>
      <c r="C13" s="1193"/>
      <c r="K13" s="1194"/>
      <c r="L13" s="1194"/>
      <c r="M13" s="1194"/>
      <c r="N13" s="1194"/>
      <c r="O13" s="1194"/>
      <c r="P13" s="1194"/>
      <c r="Q13" s="1195"/>
      <c r="R13" s="1195"/>
      <c r="S13" s="1195"/>
      <c r="T13" s="1195"/>
      <c r="U13" s="1195"/>
      <c r="V13" s="1195"/>
      <c r="W13" s="1195"/>
      <c r="X13" s="1192"/>
    </row>
    <row r="14" spans="1:35" s="1070" customFormat="1" ht="26.1" customHeight="1" x14ac:dyDescent="0.2">
      <c r="B14" s="1188"/>
      <c r="C14" s="1203"/>
      <c r="D14" s="1195"/>
      <c r="E14" s="1195"/>
      <c r="F14" s="1195"/>
      <c r="G14" s="1195"/>
      <c r="H14" s="1195"/>
      <c r="I14" s="1195"/>
      <c r="J14" s="1195"/>
      <c r="K14" s="1206" t="s">
        <v>580</v>
      </c>
      <c r="L14" s="1209" t="s">
        <v>913</v>
      </c>
      <c r="M14" s="1233">
        <v>0.59375</v>
      </c>
      <c r="N14" s="1198"/>
      <c r="O14" s="1198">
        <f>T14-M14</f>
        <v>0.16666666666666663</v>
      </c>
      <c r="P14" s="1199" t="s">
        <v>575</v>
      </c>
      <c r="Q14" s="1210"/>
      <c r="R14" s="1199"/>
      <c r="S14" s="1210"/>
      <c r="T14" s="1234">
        <v>0.76041666666666663</v>
      </c>
      <c r="U14" s="1195"/>
      <c r="V14" s="1195"/>
      <c r="W14" s="1202"/>
      <c r="X14" s="1192"/>
    </row>
    <row r="15" spans="1:35" s="1070" customFormat="1" ht="39.950000000000003" customHeight="1" x14ac:dyDescent="0.2">
      <c r="B15" s="1188"/>
      <c r="C15" s="1203"/>
      <c r="D15" s="1195"/>
      <c r="E15" s="1195"/>
      <c r="F15" s="1195"/>
      <c r="G15" s="1195"/>
      <c r="H15" s="1195"/>
      <c r="I15" s="1195"/>
      <c r="J15" s="1195"/>
      <c r="K15" s="1195"/>
      <c r="L15" s="1211" t="s">
        <v>581</v>
      </c>
      <c r="M15" s="1212" t="s">
        <v>913</v>
      </c>
      <c r="N15" s="1235">
        <v>0.60416666666666663</v>
      </c>
      <c r="O15" s="1236"/>
      <c r="P15" s="1236">
        <f>U15-N15</f>
        <v>0.16666666666666674</v>
      </c>
      <c r="Q15" s="1214" t="s">
        <v>575</v>
      </c>
      <c r="R15" s="1215"/>
      <c r="S15" s="1214"/>
      <c r="T15" s="1215"/>
      <c r="U15" s="1216">
        <v>0.77083333333333337</v>
      </c>
      <c r="V15" s="1195"/>
      <c r="W15" s="1202"/>
      <c r="X15" s="1192"/>
    </row>
    <row r="16" spans="1:35" s="1070" customFormat="1" ht="15" customHeight="1" thickBot="1" x14ac:dyDescent="0.25">
      <c r="B16" s="1217"/>
      <c r="C16" s="1218"/>
      <c r="D16" s="1218"/>
      <c r="E16" s="1218"/>
      <c r="F16" s="1218"/>
      <c r="G16" s="1218"/>
      <c r="H16" s="1218"/>
      <c r="I16" s="1218"/>
      <c r="J16" s="1218"/>
      <c r="K16" s="1218"/>
      <c r="L16" s="1218"/>
      <c r="M16" s="1218"/>
      <c r="N16" s="1218"/>
      <c r="O16" s="1218"/>
      <c r="P16" s="1218"/>
      <c r="Q16" s="1218"/>
      <c r="R16" s="1218"/>
      <c r="S16" s="1218"/>
      <c r="T16" s="1218"/>
      <c r="U16" s="1218"/>
      <c r="V16" s="1218"/>
      <c r="W16" s="1218"/>
      <c r="X16" s="1219"/>
    </row>
    <row r="17" spans="2:24" s="1070" customFormat="1" ht="30.75" customHeight="1" thickBot="1" x14ac:dyDescent="0.25"/>
    <row r="18" spans="2:24" s="1070" customFormat="1" ht="39.950000000000003" customHeight="1" x14ac:dyDescent="0.5">
      <c r="B18" s="1240"/>
      <c r="C18" s="1241" t="s">
        <v>987</v>
      </c>
      <c r="D18" s="1220"/>
      <c r="E18" s="1220"/>
      <c r="F18" s="1220"/>
      <c r="G18" s="1220"/>
      <c r="H18" s="1220"/>
      <c r="I18" s="1220"/>
      <c r="J18" s="1220"/>
      <c r="K18" s="1220"/>
      <c r="L18" s="1220"/>
      <c r="M18" s="1220"/>
      <c r="N18" s="1220"/>
      <c r="O18" s="1220"/>
      <c r="P18" s="1220"/>
      <c r="Q18" s="1220"/>
      <c r="R18" s="1220"/>
      <c r="S18" s="1220"/>
      <c r="T18" s="1220"/>
      <c r="U18" s="1220"/>
      <c r="V18" s="1220"/>
      <c r="W18" s="1186"/>
      <c r="X18" s="1187"/>
    </row>
    <row r="19" spans="2:24" s="1070" customFormat="1" ht="39.950000000000003" customHeight="1" x14ac:dyDescent="0.2">
      <c r="B19" s="1188"/>
      <c r="C19" s="1189" t="s">
        <v>574</v>
      </c>
      <c r="D19" s="1228">
        <v>0.3125</v>
      </c>
      <c r="E19" s="1228">
        <v>0.35416666666666669</v>
      </c>
      <c r="F19" s="1228"/>
      <c r="G19" s="1228"/>
      <c r="H19" s="1228"/>
      <c r="I19" s="1228">
        <v>0.5</v>
      </c>
      <c r="J19" s="1228">
        <v>0.52083333333333337</v>
      </c>
      <c r="K19" s="1228">
        <v>0.54166666666666663</v>
      </c>
      <c r="L19" s="1228">
        <v>0.5625</v>
      </c>
      <c r="M19" s="1228">
        <v>0.59375</v>
      </c>
      <c r="N19" s="1228">
        <v>0.60416666666666663</v>
      </c>
      <c r="O19" s="1228">
        <v>0.66666666666666696</v>
      </c>
      <c r="P19" s="1228">
        <v>0.70833333333333337</v>
      </c>
      <c r="Q19" s="1228">
        <v>0.72916666666666663</v>
      </c>
      <c r="R19" s="1228"/>
      <c r="S19" s="1228">
        <v>0.75</v>
      </c>
      <c r="T19" s="1228">
        <v>0.76041666666666663</v>
      </c>
      <c r="U19" s="1228">
        <v>0.77083333333333337</v>
      </c>
      <c r="V19" s="1191"/>
      <c r="W19" s="1190">
        <v>0.89583333333333337</v>
      </c>
      <c r="X19" s="1192"/>
    </row>
    <row r="20" spans="2:24" s="1070" customFormat="1" ht="15" customHeight="1" x14ac:dyDescent="0.2">
      <c r="B20" s="1188"/>
      <c r="C20" s="1193"/>
      <c r="K20" s="1194"/>
      <c r="L20" s="1194"/>
      <c r="M20" s="1194"/>
      <c r="N20" s="1194"/>
      <c r="O20" s="1194"/>
      <c r="P20" s="1194"/>
      <c r="Q20" s="1195"/>
      <c r="R20" s="1195"/>
      <c r="S20" s="1195"/>
      <c r="T20" s="1195"/>
      <c r="U20" s="1195"/>
      <c r="V20" s="1195"/>
      <c r="W20" s="1195"/>
      <c r="X20" s="1192"/>
    </row>
    <row r="21" spans="2:24" s="1070" customFormat="1" ht="26.1" customHeight="1" x14ac:dyDescent="0.2">
      <c r="B21" s="1188"/>
      <c r="C21" s="1221" t="s">
        <v>984</v>
      </c>
      <c r="D21" s="1233">
        <v>0.3125</v>
      </c>
      <c r="E21" s="1231"/>
      <c r="F21" s="1231">
        <f>I21-D21</f>
        <v>0.1875</v>
      </c>
      <c r="G21" s="1244" t="s">
        <v>575</v>
      </c>
      <c r="H21" s="1244"/>
      <c r="I21" s="1233">
        <v>0.5</v>
      </c>
      <c r="J21" s="1249" t="s">
        <v>582</v>
      </c>
      <c r="K21" s="1249"/>
      <c r="L21" s="1222"/>
      <c r="M21" s="1250">
        <f>F21+S21</f>
        <v>0.35416666666666674</v>
      </c>
      <c r="N21" s="1223" t="s">
        <v>577</v>
      </c>
      <c r="O21" s="1223"/>
      <c r="P21" s="1223"/>
      <c r="Q21" s="1233">
        <v>0.72916666666666663</v>
      </c>
      <c r="R21" s="1250"/>
      <c r="S21" s="1250">
        <f>W21-Q21</f>
        <v>0.16666666666666674</v>
      </c>
      <c r="T21" s="1250"/>
      <c r="U21" s="1244" t="s">
        <v>577</v>
      </c>
      <c r="V21" s="1244"/>
      <c r="W21" s="1234">
        <v>0.89583333333333337</v>
      </c>
      <c r="X21" s="1192"/>
    </row>
    <row r="22" spans="2:24" s="1070" customFormat="1" ht="15" customHeight="1" x14ac:dyDescent="0.2">
      <c r="B22" s="1188"/>
      <c r="C22" s="1193"/>
      <c r="K22" s="1194"/>
      <c r="L22" s="1194"/>
      <c r="M22" s="1194"/>
      <c r="N22" s="1194"/>
      <c r="O22" s="1194"/>
      <c r="P22" s="1194"/>
      <c r="Q22" s="1195"/>
      <c r="R22" s="1195"/>
      <c r="S22" s="1195"/>
      <c r="T22" s="1195"/>
      <c r="U22" s="1195"/>
      <c r="V22" s="1195"/>
      <c r="W22" s="1195"/>
      <c r="X22" s="1192"/>
    </row>
    <row r="23" spans="2:24" s="1070" customFormat="1" ht="26.1" customHeight="1" x14ac:dyDescent="0.3">
      <c r="B23" s="1188"/>
      <c r="C23" s="1203"/>
      <c r="D23" s="1196" t="s">
        <v>914</v>
      </c>
      <c r="E23" s="1233">
        <v>0.35416666666666669</v>
      </c>
      <c r="F23" s="1231"/>
      <c r="G23" s="1231"/>
      <c r="H23" s="1231"/>
      <c r="I23" s="1231">
        <f>P23-E23</f>
        <v>0.35416666666666669</v>
      </c>
      <c r="J23" s="1244" t="s">
        <v>577</v>
      </c>
      <c r="K23" s="1246"/>
      <c r="L23" s="1246"/>
      <c r="M23" s="1246"/>
      <c r="N23" s="1246"/>
      <c r="O23" s="1246"/>
      <c r="P23" s="1234">
        <v>0.70833333333333337</v>
      </c>
      <c r="Q23" s="1247" t="s">
        <v>578</v>
      </c>
      <c r="R23" s="1248"/>
      <c r="S23" s="1195"/>
      <c r="T23" s="1195"/>
      <c r="U23" s="1195"/>
      <c r="V23" s="1195"/>
      <c r="W23" s="1202"/>
      <c r="X23" s="1192"/>
    </row>
    <row r="24" spans="2:24" s="1070" customFormat="1" ht="15" customHeight="1" x14ac:dyDescent="0.2">
      <c r="B24" s="1188"/>
      <c r="C24" s="1193"/>
      <c r="K24" s="1194"/>
      <c r="L24" s="1194"/>
      <c r="M24" s="1194"/>
      <c r="N24" s="1194"/>
      <c r="O24" s="1194"/>
      <c r="P24" s="1194"/>
      <c r="Q24" s="1195"/>
      <c r="R24" s="1195"/>
      <c r="S24" s="1195"/>
      <c r="T24" s="1195"/>
      <c r="U24" s="1195"/>
      <c r="V24" s="1195"/>
      <c r="W24" s="1195"/>
      <c r="X24" s="1192"/>
    </row>
    <row r="25" spans="2:24" s="1070" customFormat="1" ht="26.1" customHeight="1" x14ac:dyDescent="0.3">
      <c r="B25" s="1188"/>
      <c r="C25" s="1203"/>
      <c r="D25" s="1195"/>
      <c r="E25" s="1195"/>
      <c r="F25" s="1195"/>
      <c r="G25" s="1195"/>
      <c r="H25" s="1195"/>
      <c r="I25" s="1206" t="s">
        <v>580</v>
      </c>
      <c r="J25" s="1208" t="s">
        <v>557</v>
      </c>
      <c r="K25" s="1233">
        <v>0.54166666666666663</v>
      </c>
      <c r="L25" s="1231"/>
      <c r="M25" s="1244"/>
      <c r="N25" s="1244"/>
      <c r="O25" s="1231">
        <f>W25-K25</f>
        <v>0.35416666666666674</v>
      </c>
      <c r="P25" s="1244" t="s">
        <v>577</v>
      </c>
      <c r="Q25" s="1246"/>
      <c r="R25" s="1246"/>
      <c r="S25" s="1246"/>
      <c r="T25" s="1246"/>
      <c r="U25" s="1246"/>
      <c r="V25" s="1246"/>
      <c r="W25" s="1234">
        <v>0.89583333333333337</v>
      </c>
      <c r="X25" s="1192"/>
    </row>
    <row r="26" spans="2:24" s="1070" customFormat="1" ht="15" customHeight="1" x14ac:dyDescent="0.2">
      <c r="B26" s="1188"/>
      <c r="C26" s="1193"/>
      <c r="K26" s="1194"/>
      <c r="L26" s="1194"/>
      <c r="M26" s="1194"/>
      <c r="N26" s="1194"/>
      <c r="O26" s="1194"/>
      <c r="P26" s="1194"/>
      <c r="Q26" s="1195"/>
      <c r="R26" s="1195"/>
      <c r="S26" s="1195"/>
      <c r="T26" s="1195"/>
      <c r="U26" s="1195"/>
      <c r="V26" s="1195"/>
      <c r="W26" s="1195"/>
      <c r="X26" s="1192"/>
    </row>
    <row r="27" spans="2:24" s="1070" customFormat="1" ht="26.1" customHeight="1" x14ac:dyDescent="0.2">
      <c r="B27" s="1188"/>
      <c r="C27" s="1203"/>
      <c r="D27" s="1195"/>
      <c r="E27" s="1195"/>
      <c r="F27" s="1195"/>
      <c r="G27" s="1195"/>
      <c r="H27" s="1195"/>
      <c r="I27" s="1195"/>
      <c r="J27" s="1195"/>
      <c r="K27" s="1206" t="s">
        <v>580</v>
      </c>
      <c r="L27" s="1209" t="s">
        <v>913</v>
      </c>
      <c r="M27" s="1233">
        <v>0.59375</v>
      </c>
      <c r="N27" s="1231"/>
      <c r="O27" s="1231">
        <f>T27-M27</f>
        <v>0.16666666666666663</v>
      </c>
      <c r="P27" s="1244" t="s">
        <v>575</v>
      </c>
      <c r="Q27" s="1245"/>
      <c r="R27" s="1244"/>
      <c r="S27" s="1245"/>
      <c r="T27" s="1234">
        <v>0.76041666666666663</v>
      </c>
      <c r="U27" s="1195"/>
      <c r="V27" s="1195"/>
      <c r="W27" s="1202"/>
      <c r="X27" s="1192"/>
    </row>
    <row r="28" spans="2:24" s="1070" customFormat="1" ht="39.950000000000003" customHeight="1" x14ac:dyDescent="0.2">
      <c r="B28" s="1188"/>
      <c r="C28" s="1203"/>
      <c r="D28" s="1195"/>
      <c r="E28" s="1195"/>
      <c r="F28" s="1195"/>
      <c r="G28" s="1195"/>
      <c r="H28" s="1195"/>
      <c r="I28" s="1195"/>
      <c r="J28" s="1195"/>
      <c r="K28" s="1195"/>
      <c r="L28" s="1211" t="s">
        <v>581</v>
      </c>
      <c r="M28" s="1212" t="s">
        <v>913</v>
      </c>
      <c r="N28" s="1213">
        <v>0.60416666666666663</v>
      </c>
      <c r="O28" s="1242"/>
      <c r="P28" s="1242">
        <f>U28-N28</f>
        <v>0.16666666666666674</v>
      </c>
      <c r="Q28" s="1214" t="s">
        <v>575</v>
      </c>
      <c r="R28" s="1243"/>
      <c r="S28" s="1214"/>
      <c r="T28" s="1243"/>
      <c r="U28" s="1216">
        <v>0.77083333333333337</v>
      </c>
      <c r="V28" s="1195"/>
      <c r="W28" s="1202"/>
      <c r="X28" s="1192"/>
    </row>
    <row r="29" spans="2:24" s="1070" customFormat="1" ht="15" customHeight="1" thickBot="1" x14ac:dyDescent="0.25">
      <c r="B29" s="1217"/>
      <c r="C29" s="1218"/>
      <c r="D29" s="1218"/>
      <c r="E29" s="1218"/>
      <c r="F29" s="1218"/>
      <c r="G29" s="1218"/>
      <c r="H29" s="1218"/>
      <c r="I29" s="1218"/>
      <c r="J29" s="1218"/>
      <c r="K29" s="1218"/>
      <c r="L29" s="1218"/>
      <c r="M29" s="1218"/>
      <c r="N29" s="1218"/>
      <c r="O29" s="1218"/>
      <c r="P29" s="1218"/>
      <c r="Q29" s="1218"/>
      <c r="R29" s="1218"/>
      <c r="S29" s="1218"/>
      <c r="T29" s="1218"/>
      <c r="U29" s="1218"/>
      <c r="V29" s="1218"/>
      <c r="W29" s="1218"/>
      <c r="X29" s="1219"/>
    </row>
    <row r="30" spans="2:24" s="1070" customFormat="1" ht="20.25" customHeight="1" thickBot="1" x14ac:dyDescent="0.25"/>
    <row r="31" spans="2:24" s="1070" customFormat="1" ht="39.950000000000003" customHeight="1" x14ac:dyDescent="0.45">
      <c r="B31" s="1237"/>
      <c r="C31" s="1220" t="s">
        <v>988</v>
      </c>
      <c r="D31" s="1220"/>
      <c r="E31" s="1220"/>
      <c r="F31" s="1220"/>
      <c r="G31" s="1220"/>
      <c r="H31" s="1220"/>
      <c r="I31" s="1220"/>
      <c r="J31" s="1220"/>
      <c r="K31" s="1220"/>
      <c r="L31" s="1220"/>
      <c r="M31" s="1220"/>
      <c r="N31" s="1220"/>
      <c r="O31" s="1220"/>
      <c r="P31" s="1220"/>
      <c r="Q31" s="1220"/>
      <c r="R31" s="1220"/>
      <c r="S31" s="1220"/>
      <c r="T31" s="1220"/>
      <c r="U31" s="1220"/>
      <c r="V31" s="1220"/>
      <c r="W31" s="1238"/>
      <c r="X31" s="1239"/>
    </row>
    <row r="32" spans="2:24" s="1070" customFormat="1" ht="39.950000000000003" customHeight="1" x14ac:dyDescent="0.2">
      <c r="B32" s="1188"/>
      <c r="C32" s="1189" t="s">
        <v>574</v>
      </c>
      <c r="D32" s="1228">
        <v>0.3125</v>
      </c>
      <c r="E32" s="1228">
        <v>0.35416666666666669</v>
      </c>
      <c r="F32" s="1228"/>
      <c r="G32" s="1228"/>
      <c r="H32" s="1228"/>
      <c r="I32" s="1228">
        <v>0.5</v>
      </c>
      <c r="J32" s="1228">
        <v>0.52083333333333337</v>
      </c>
      <c r="K32" s="1228">
        <v>0.54166666666666663</v>
      </c>
      <c r="L32" s="1228">
        <v>0.5625</v>
      </c>
      <c r="M32" s="1228">
        <v>0.59375</v>
      </c>
      <c r="N32" s="1228">
        <v>0.60416666666666663</v>
      </c>
      <c r="O32" s="1228">
        <v>0.66666666666666696</v>
      </c>
      <c r="P32" s="1228">
        <v>0.70833333333333337</v>
      </c>
      <c r="Q32" s="1228">
        <v>0.72916666666666663</v>
      </c>
      <c r="R32" s="1228"/>
      <c r="S32" s="1228">
        <v>0.75</v>
      </c>
      <c r="T32" s="1228">
        <v>0.76041666666666663</v>
      </c>
      <c r="U32" s="1228">
        <v>0.77083333333333337</v>
      </c>
      <c r="V32" s="1229"/>
      <c r="W32" s="1228">
        <v>0.89583333333333337</v>
      </c>
      <c r="X32" s="1192"/>
    </row>
    <row r="33" spans="2:34" s="1070" customFormat="1" ht="15" customHeight="1" x14ac:dyDescent="0.2">
      <c r="B33" s="1188"/>
      <c r="C33" s="1193"/>
      <c r="K33" s="1194"/>
      <c r="L33" s="1194"/>
      <c r="M33" s="1194"/>
      <c r="N33" s="1194"/>
      <c r="O33" s="1194"/>
      <c r="P33" s="1194"/>
      <c r="Q33" s="1195"/>
      <c r="R33" s="1195"/>
      <c r="S33" s="1195"/>
      <c r="T33" s="1195"/>
      <c r="U33" s="1195"/>
      <c r="V33" s="1195"/>
      <c r="W33" s="1195"/>
      <c r="X33" s="1192"/>
    </row>
    <row r="34" spans="2:34" s="1070" customFormat="1" ht="26.1" customHeight="1" x14ac:dyDescent="0.2">
      <c r="B34" s="1188"/>
      <c r="C34" s="1221" t="s">
        <v>984</v>
      </c>
      <c r="D34" s="1233">
        <v>0.3125</v>
      </c>
      <c r="E34" s="1231"/>
      <c r="F34" s="1231">
        <f>I34-D34</f>
        <v>0.1875</v>
      </c>
      <c r="G34" s="1244" t="s">
        <v>575</v>
      </c>
      <c r="H34" s="1244"/>
      <c r="I34" s="1233">
        <v>0.5</v>
      </c>
      <c r="J34" s="1249" t="s">
        <v>582</v>
      </c>
      <c r="K34" s="1249"/>
      <c r="L34" s="1222"/>
      <c r="M34" s="1250">
        <f>F34+S34</f>
        <v>0.35416666666666674</v>
      </c>
      <c r="N34" s="1223" t="s">
        <v>577</v>
      </c>
      <c r="O34" s="1223"/>
      <c r="P34" s="1223"/>
      <c r="Q34" s="1233">
        <v>0.72916666666666663</v>
      </c>
      <c r="R34" s="1250"/>
      <c r="S34" s="1250">
        <f>W34-Q34</f>
        <v>0.16666666666666674</v>
      </c>
      <c r="T34" s="1250"/>
      <c r="U34" s="1244" t="s">
        <v>577</v>
      </c>
      <c r="V34" s="1244"/>
      <c r="W34" s="1234">
        <v>0.89583333333333337</v>
      </c>
      <c r="X34" s="1192"/>
    </row>
    <row r="35" spans="2:34" s="1070" customFormat="1" ht="15" customHeight="1" x14ac:dyDescent="0.2">
      <c r="B35" s="1188"/>
      <c r="C35" s="1193"/>
      <c r="K35" s="1194"/>
      <c r="L35" s="1194"/>
      <c r="M35" s="1194"/>
      <c r="N35" s="1194"/>
      <c r="O35" s="1194"/>
      <c r="P35" s="1194"/>
      <c r="Q35" s="1195"/>
      <c r="R35" s="1195"/>
      <c r="S35" s="1195"/>
      <c r="T35" s="1195"/>
      <c r="U35" s="1195"/>
      <c r="V35" s="1195"/>
      <c r="W35" s="1195"/>
      <c r="X35" s="1192"/>
    </row>
    <row r="36" spans="2:34" s="1070" customFormat="1" ht="26.1" customHeight="1" x14ac:dyDescent="0.3">
      <c r="B36" s="1188"/>
      <c r="C36" s="1203"/>
      <c r="D36" s="1196" t="s">
        <v>914</v>
      </c>
      <c r="E36" s="1233">
        <v>0.35416666666666669</v>
      </c>
      <c r="F36" s="1231"/>
      <c r="G36" s="1231"/>
      <c r="H36" s="1231"/>
      <c r="I36" s="1230">
        <f>P36-E36</f>
        <v>0.35416666666666669</v>
      </c>
      <c r="J36" s="1244" t="s">
        <v>577</v>
      </c>
      <c r="K36" s="1246"/>
      <c r="L36" s="1246"/>
      <c r="M36" s="1246"/>
      <c r="N36" s="1246"/>
      <c r="O36" s="1246"/>
      <c r="P36" s="1234">
        <v>0.70833333333333337</v>
      </c>
      <c r="Q36" s="1247" t="s">
        <v>578</v>
      </c>
      <c r="R36" s="1195"/>
      <c r="S36" s="1195"/>
      <c r="T36" s="1195"/>
      <c r="U36" s="1195"/>
      <c r="V36" s="1195"/>
      <c r="W36" s="1202"/>
      <c r="X36" s="1192"/>
    </row>
    <row r="37" spans="2:34" s="1070" customFormat="1" ht="15" customHeight="1" x14ac:dyDescent="0.2">
      <c r="B37" s="1188"/>
      <c r="C37" s="1193"/>
      <c r="K37" s="1194"/>
      <c r="L37" s="1194"/>
      <c r="M37" s="1194"/>
      <c r="N37" s="1194"/>
      <c r="O37" s="1194"/>
      <c r="P37" s="1194"/>
      <c r="Q37" s="1195"/>
      <c r="R37" s="1195"/>
      <c r="S37" s="1195"/>
      <c r="T37" s="1195"/>
      <c r="U37" s="1195"/>
      <c r="V37" s="1195"/>
      <c r="W37" s="1195"/>
      <c r="X37" s="1192"/>
    </row>
    <row r="38" spans="2:34" s="1070" customFormat="1" ht="26.1" customHeight="1" x14ac:dyDescent="0.3">
      <c r="B38" s="1188"/>
      <c r="C38" s="1203"/>
      <c r="D38" s="1195"/>
      <c r="E38" s="1195"/>
      <c r="F38" s="1195"/>
      <c r="G38" s="1195"/>
      <c r="H38" s="1195"/>
      <c r="I38" s="1206" t="s">
        <v>580</v>
      </c>
      <c r="J38" s="1251" t="s">
        <v>557</v>
      </c>
      <c r="K38" s="1233">
        <v>0.54166666666666663</v>
      </c>
      <c r="L38" s="1231"/>
      <c r="M38" s="1244"/>
      <c r="N38" s="1244"/>
      <c r="O38" s="1231">
        <f>W38-K38</f>
        <v>0.35416666666666674</v>
      </c>
      <c r="P38" s="1244" t="s">
        <v>577</v>
      </c>
      <c r="Q38" s="1246"/>
      <c r="R38" s="1246"/>
      <c r="S38" s="1246"/>
      <c r="T38" s="1246"/>
      <c r="U38" s="1246"/>
      <c r="V38" s="1246"/>
      <c r="W38" s="1234">
        <v>0.89583333333333337</v>
      </c>
      <c r="X38" s="1192"/>
    </row>
    <row r="39" spans="2:34" s="1070" customFormat="1" ht="15" customHeight="1" x14ac:dyDescent="0.2">
      <c r="B39" s="1188"/>
      <c r="C39" s="1193"/>
      <c r="K39" s="1194"/>
      <c r="L39" s="1194"/>
      <c r="M39" s="1194"/>
      <c r="N39" s="1194"/>
      <c r="O39" s="1194"/>
      <c r="P39" s="1194"/>
      <c r="Q39" s="1195"/>
      <c r="R39" s="1195"/>
      <c r="S39" s="1195"/>
      <c r="T39" s="1195"/>
      <c r="U39" s="1195"/>
      <c r="V39" s="1195"/>
      <c r="W39" s="1195"/>
      <c r="X39" s="1192"/>
    </row>
    <row r="40" spans="2:34" s="1070" customFormat="1" ht="26.1" customHeight="1" x14ac:dyDescent="0.2">
      <c r="B40" s="1188"/>
      <c r="C40" s="1203"/>
      <c r="D40" s="1195"/>
      <c r="E40" s="1195"/>
      <c r="F40" s="1195"/>
      <c r="G40" s="1195"/>
      <c r="H40" s="1195"/>
      <c r="I40" s="1195"/>
      <c r="J40" s="1224" t="s">
        <v>985</v>
      </c>
      <c r="K40" s="1252" t="s">
        <v>989</v>
      </c>
      <c r="L40" s="1233">
        <v>0.5625</v>
      </c>
      <c r="M40" s="1231"/>
      <c r="N40" s="1231">
        <f>Q40-L40</f>
        <v>0.16666666666666663</v>
      </c>
      <c r="O40" s="1244" t="s">
        <v>575</v>
      </c>
      <c r="P40" s="1245"/>
      <c r="Q40" s="1234">
        <v>0.72916666666666663</v>
      </c>
      <c r="R40" s="1195"/>
      <c r="S40" s="1195"/>
      <c r="T40" s="1195"/>
      <c r="U40" s="1195"/>
      <c r="V40" s="1195"/>
      <c r="W40" s="1202"/>
      <c r="X40" s="1192"/>
    </row>
    <row r="41" spans="2:34" s="1070" customFormat="1" ht="15" customHeight="1" thickBot="1" x14ac:dyDescent="0.25">
      <c r="B41" s="1217"/>
      <c r="C41" s="1218"/>
      <c r="D41" s="1218"/>
      <c r="E41" s="1218"/>
      <c r="F41" s="1218"/>
      <c r="G41" s="1218"/>
      <c r="H41" s="1218"/>
      <c r="I41" s="1218"/>
      <c r="J41" s="1218"/>
      <c r="K41" s="1218"/>
      <c r="L41" s="1218"/>
      <c r="M41" s="1218"/>
      <c r="N41" s="1218"/>
      <c r="O41" s="1218"/>
      <c r="P41" s="1218"/>
      <c r="Q41" s="1218"/>
      <c r="R41" s="1218"/>
      <c r="S41" s="1218"/>
      <c r="T41" s="1218"/>
      <c r="U41" s="1218"/>
      <c r="V41" s="1218"/>
      <c r="W41" s="1218"/>
      <c r="X41" s="1219"/>
    </row>
    <row r="42" spans="2:34" s="1070" customFormat="1" ht="12.75" x14ac:dyDescent="0.2"/>
    <row r="43" spans="2:34" s="1070" customFormat="1" ht="12.75" x14ac:dyDescent="0.2"/>
    <row r="44" spans="2:34" x14ac:dyDescent="0.25">
      <c r="L44" s="1073"/>
      <c r="M44" s="1073"/>
      <c r="N44" s="1073"/>
      <c r="O44" s="1073"/>
      <c r="P44" s="1073"/>
      <c r="Q44" s="1073"/>
      <c r="R44" s="1073"/>
      <c r="S44" s="1073"/>
      <c r="T44" s="1073"/>
      <c r="U44" s="1073"/>
      <c r="X44" s="1073"/>
      <c r="Y44" s="1073"/>
      <c r="Z44" s="1073"/>
      <c r="AA44" s="1073"/>
      <c r="AB44" s="1073"/>
      <c r="AC44" s="1073"/>
      <c r="AD44" s="1073"/>
      <c r="AE44" s="1073"/>
      <c r="AF44" s="1073"/>
      <c r="AG44" s="1073"/>
      <c r="AH44" s="1073"/>
    </row>
    <row r="45" spans="2:34" x14ac:dyDescent="0.25">
      <c r="L45" s="1073"/>
      <c r="M45" s="1073"/>
      <c r="N45" s="1073"/>
      <c r="O45" s="1073"/>
      <c r="P45" s="1073"/>
      <c r="Q45" s="1073"/>
      <c r="R45" s="1073"/>
      <c r="S45" s="1073"/>
      <c r="T45" s="1073"/>
      <c r="U45" s="1073"/>
      <c r="X45" s="1073"/>
      <c r="Y45" s="1073"/>
      <c r="Z45" s="1073"/>
      <c r="AA45" s="1073"/>
      <c r="AB45" s="1073"/>
      <c r="AC45" s="1073"/>
      <c r="AD45" s="1073"/>
      <c r="AE45" s="1073"/>
      <c r="AF45" s="1073"/>
      <c r="AG45" s="1073"/>
      <c r="AH45" s="1073"/>
    </row>
    <row r="46" spans="2:34" x14ac:dyDescent="0.25">
      <c r="L46" s="1073"/>
      <c r="M46" s="1073"/>
      <c r="N46" s="1073"/>
      <c r="O46" s="1073"/>
      <c r="P46" s="1073"/>
      <c r="Q46" s="1073"/>
      <c r="R46" s="1073"/>
      <c r="S46" s="1073"/>
      <c r="T46" s="1073"/>
      <c r="U46" s="1073"/>
      <c r="X46" s="1073"/>
      <c r="Y46" s="1073"/>
      <c r="Z46" s="1073"/>
      <c r="AA46" s="1073"/>
      <c r="AB46" s="1073"/>
      <c r="AC46" s="1073"/>
      <c r="AD46" s="1073"/>
      <c r="AE46" s="1073"/>
      <c r="AF46" s="1073"/>
      <c r="AG46" s="1073"/>
      <c r="AH46" s="1073"/>
    </row>
    <row r="47" spans="2:34" x14ac:dyDescent="0.25">
      <c r="L47" s="1073"/>
      <c r="M47" s="1073"/>
      <c r="N47" s="1073"/>
      <c r="O47" s="1073"/>
      <c r="P47" s="1073"/>
      <c r="Q47" s="1073"/>
      <c r="R47" s="1073"/>
      <c r="S47" s="1073"/>
      <c r="T47" s="1073"/>
      <c r="U47" s="1073"/>
      <c r="X47" s="1073"/>
      <c r="Y47" s="1073"/>
      <c r="Z47" s="1073"/>
      <c r="AA47" s="1073"/>
      <c r="AB47" s="1073"/>
      <c r="AC47" s="1073"/>
      <c r="AD47" s="1073"/>
      <c r="AE47" s="1073"/>
      <c r="AF47" s="1073"/>
      <c r="AG47" s="1073"/>
      <c r="AH47" s="1073"/>
    </row>
    <row r="48" spans="2:34" x14ac:dyDescent="0.25">
      <c r="L48" s="1073"/>
      <c r="M48" s="1073"/>
      <c r="N48" s="1073"/>
      <c r="O48" s="1073"/>
      <c r="P48" s="1073"/>
      <c r="Q48" s="1073"/>
      <c r="R48" s="1073"/>
      <c r="S48" s="1073"/>
      <c r="T48" s="1073"/>
      <c r="U48" s="1073"/>
      <c r="X48" s="1073"/>
      <c r="Y48" s="1073"/>
      <c r="Z48" s="1073"/>
      <c r="AA48" s="1073"/>
      <c r="AB48" s="1073"/>
      <c r="AC48" s="1073"/>
      <c r="AD48" s="1073"/>
      <c r="AE48" s="1073"/>
      <c r="AF48" s="1073"/>
      <c r="AG48" s="1073"/>
      <c r="AH48" s="1073"/>
    </row>
    <row r="49" spans="12:34" x14ac:dyDescent="0.25">
      <c r="L49" s="1073"/>
      <c r="M49" s="1073"/>
      <c r="N49" s="1073"/>
      <c r="O49" s="1073"/>
      <c r="P49" s="1073"/>
      <c r="Q49" s="1073"/>
      <c r="R49" s="1073"/>
      <c r="S49" s="1073"/>
      <c r="T49" s="1073"/>
      <c r="U49" s="1073"/>
      <c r="X49" s="1073"/>
      <c r="Y49" s="1073"/>
      <c r="Z49" s="1073"/>
      <c r="AA49" s="1073"/>
      <c r="AB49" s="1073"/>
      <c r="AC49" s="1073"/>
      <c r="AD49" s="1073"/>
      <c r="AE49" s="1073"/>
      <c r="AF49" s="1073"/>
      <c r="AG49" s="1073"/>
      <c r="AH49" s="1073"/>
    </row>
    <row r="50" spans="12:34" x14ac:dyDescent="0.25">
      <c r="L50" s="1073"/>
      <c r="M50" s="1073"/>
      <c r="N50" s="1073"/>
      <c r="O50" s="1073"/>
      <c r="P50" s="1073"/>
      <c r="Q50" s="1073"/>
      <c r="R50" s="1073"/>
      <c r="S50" s="1073"/>
      <c r="T50" s="1073"/>
      <c r="U50" s="1073"/>
      <c r="X50" s="1073"/>
      <c r="Y50" s="1073"/>
      <c r="Z50" s="1073"/>
      <c r="AA50" s="1073"/>
      <c r="AB50" s="1073"/>
      <c r="AC50" s="1073"/>
      <c r="AD50" s="1073"/>
      <c r="AE50" s="1073"/>
      <c r="AF50" s="1073"/>
      <c r="AG50" s="1073"/>
      <c r="AH50" s="1073"/>
    </row>
    <row r="51" spans="12:34" x14ac:dyDescent="0.25">
      <c r="L51" s="1073"/>
      <c r="M51" s="1073"/>
      <c r="N51" s="1073"/>
      <c r="O51" s="1073"/>
      <c r="P51" s="1073"/>
      <c r="Q51" s="1073"/>
      <c r="R51" s="1073"/>
      <c r="S51" s="1073"/>
      <c r="T51" s="1073"/>
      <c r="U51" s="1073"/>
      <c r="X51" s="1073"/>
      <c r="Y51" s="1073"/>
      <c r="Z51" s="1073"/>
      <c r="AA51" s="1073"/>
      <c r="AB51" s="1073"/>
      <c r="AC51" s="1073"/>
      <c r="AD51" s="1073"/>
      <c r="AE51" s="1073"/>
      <c r="AF51" s="1073"/>
      <c r="AG51" s="1073"/>
      <c r="AH51" s="1073"/>
    </row>
    <row r="52" spans="12:34" x14ac:dyDescent="0.25">
      <c r="L52" s="1073"/>
      <c r="M52" s="1073"/>
      <c r="N52" s="1073"/>
      <c r="O52" s="1073"/>
      <c r="P52" s="1073"/>
      <c r="Q52" s="1073"/>
      <c r="R52" s="1073"/>
      <c r="S52" s="1073"/>
      <c r="T52" s="1073"/>
      <c r="U52" s="1073"/>
      <c r="X52" s="1073"/>
      <c r="Y52" s="1073"/>
      <c r="Z52" s="1073"/>
      <c r="AA52" s="1073"/>
      <c r="AB52" s="1073"/>
      <c r="AC52" s="1073"/>
      <c r="AD52" s="1073"/>
      <c r="AE52" s="1073"/>
      <c r="AF52" s="1073"/>
      <c r="AG52" s="1073"/>
      <c r="AH52" s="1073"/>
    </row>
    <row r="53" spans="12:34" x14ac:dyDescent="0.25">
      <c r="L53" s="1073"/>
      <c r="M53" s="1073"/>
      <c r="N53" s="1073"/>
      <c r="O53" s="1073"/>
      <c r="P53" s="1073"/>
      <c r="Q53" s="1073"/>
      <c r="R53" s="1073"/>
      <c r="S53" s="1073"/>
      <c r="T53" s="1073"/>
      <c r="U53" s="1073"/>
      <c r="X53" s="1073"/>
      <c r="Y53" s="1073"/>
      <c r="Z53" s="1073"/>
      <c r="AA53" s="1073"/>
      <c r="AB53" s="1073"/>
      <c r="AC53" s="1073"/>
      <c r="AD53" s="1073"/>
      <c r="AE53" s="1073"/>
      <c r="AF53" s="1073"/>
      <c r="AG53" s="1073"/>
      <c r="AH53" s="1073"/>
    </row>
    <row r="54" spans="12:34" x14ac:dyDescent="0.25">
      <c r="L54" s="1073"/>
      <c r="M54" s="1073"/>
      <c r="N54" s="1073"/>
      <c r="O54" s="1073"/>
      <c r="P54" s="1073"/>
      <c r="Q54" s="1073"/>
      <c r="R54" s="1073"/>
      <c r="S54" s="1073"/>
      <c r="T54" s="1073"/>
      <c r="U54" s="1073"/>
      <c r="X54" s="1073"/>
      <c r="Y54" s="1073"/>
      <c r="Z54" s="1073"/>
      <c r="AA54" s="1073"/>
      <c r="AB54" s="1073"/>
      <c r="AC54" s="1073"/>
      <c r="AD54" s="1073"/>
      <c r="AE54" s="1073"/>
      <c r="AF54" s="1073"/>
      <c r="AG54" s="1073"/>
      <c r="AH54" s="1073"/>
    </row>
    <row r="55" spans="12:34" x14ac:dyDescent="0.25">
      <c r="L55" s="1073"/>
      <c r="M55" s="1073"/>
      <c r="N55" s="1073"/>
      <c r="O55" s="1073"/>
      <c r="P55" s="1073"/>
      <c r="Q55" s="1073"/>
      <c r="R55" s="1073"/>
      <c r="S55" s="1073"/>
      <c r="T55" s="1073"/>
      <c r="U55" s="1073"/>
      <c r="X55" s="1073"/>
      <c r="Y55" s="1073"/>
      <c r="Z55" s="1073"/>
      <c r="AA55" s="1073"/>
      <c r="AB55" s="1073"/>
      <c r="AC55" s="1073"/>
      <c r="AD55" s="1073"/>
      <c r="AE55" s="1073"/>
      <c r="AF55" s="1073"/>
      <c r="AG55" s="1073"/>
      <c r="AH55" s="1073"/>
    </row>
    <row r="56" spans="12:34" x14ac:dyDescent="0.25">
      <c r="L56" s="1073"/>
      <c r="M56" s="1073"/>
      <c r="N56" s="1073"/>
      <c r="O56" s="1073"/>
      <c r="P56" s="1073"/>
      <c r="Q56" s="1073"/>
      <c r="R56" s="1073"/>
      <c r="S56" s="1073"/>
      <c r="T56" s="1073"/>
      <c r="U56" s="1073"/>
      <c r="X56" s="1073"/>
      <c r="Y56" s="1073"/>
      <c r="Z56" s="1073"/>
      <c r="AA56" s="1073"/>
      <c r="AB56" s="1073"/>
      <c r="AC56" s="1073"/>
      <c r="AD56" s="1073"/>
      <c r="AE56" s="1073"/>
      <c r="AF56" s="1073"/>
      <c r="AG56" s="1073"/>
      <c r="AH56" s="1073"/>
    </row>
    <row r="57" spans="12:34" x14ac:dyDescent="0.25">
      <c r="L57" s="1073"/>
      <c r="M57" s="1073"/>
      <c r="N57" s="1073"/>
      <c r="O57" s="1073"/>
      <c r="P57" s="1073"/>
      <c r="Q57" s="1073"/>
      <c r="R57" s="1073"/>
      <c r="S57" s="1073"/>
      <c r="T57" s="1073"/>
      <c r="U57" s="1073"/>
      <c r="X57" s="1073"/>
      <c r="Y57" s="1073"/>
      <c r="Z57" s="1073"/>
      <c r="AA57" s="1073"/>
      <c r="AB57" s="1073"/>
      <c r="AC57" s="1073"/>
      <c r="AD57" s="1073"/>
      <c r="AE57" s="1073"/>
      <c r="AF57" s="1073"/>
      <c r="AG57" s="1073"/>
      <c r="AH57" s="1073"/>
    </row>
    <row r="58" spans="12:34" x14ac:dyDescent="0.25">
      <c r="L58" s="1073"/>
      <c r="M58" s="1073"/>
      <c r="N58" s="1073"/>
      <c r="O58" s="1073"/>
      <c r="P58" s="1073"/>
      <c r="Q58" s="1073"/>
      <c r="R58" s="1073"/>
      <c r="S58" s="1073"/>
      <c r="T58" s="1073"/>
      <c r="U58" s="1073"/>
      <c r="X58" s="1073"/>
      <c r="Y58" s="1073"/>
      <c r="Z58" s="1073"/>
      <c r="AA58" s="1073"/>
      <c r="AB58" s="1073"/>
      <c r="AC58" s="1073"/>
      <c r="AD58" s="1073"/>
      <c r="AE58" s="1073"/>
      <c r="AF58" s="1073"/>
      <c r="AG58" s="1073"/>
      <c r="AH58" s="1073"/>
    </row>
    <row r="59" spans="12:34" x14ac:dyDescent="0.25">
      <c r="L59" s="1073"/>
      <c r="M59" s="1073"/>
      <c r="N59" s="1073"/>
      <c r="O59" s="1073"/>
      <c r="P59" s="1073"/>
      <c r="Q59" s="1073"/>
      <c r="R59" s="1073"/>
      <c r="S59" s="1073"/>
      <c r="T59" s="1073"/>
      <c r="U59" s="1073"/>
      <c r="X59" s="1073"/>
      <c r="Y59" s="1073"/>
      <c r="Z59" s="1073"/>
      <c r="AA59" s="1073"/>
      <c r="AB59" s="1073"/>
      <c r="AC59" s="1073"/>
      <c r="AD59" s="1073"/>
      <c r="AE59" s="1073"/>
      <c r="AF59" s="1073"/>
      <c r="AG59" s="1073"/>
      <c r="AH59" s="1073"/>
    </row>
    <row r="60" spans="12:34" x14ac:dyDescent="0.25">
      <c r="L60" s="1073"/>
      <c r="M60" s="1073"/>
      <c r="N60" s="1073"/>
      <c r="O60" s="1073"/>
      <c r="P60" s="1073"/>
      <c r="Q60" s="1073"/>
      <c r="R60" s="1073"/>
      <c r="S60" s="1073"/>
      <c r="T60" s="1073"/>
      <c r="U60" s="1073"/>
      <c r="X60" s="1073"/>
      <c r="Y60" s="1073"/>
      <c r="Z60" s="1073"/>
      <c r="AA60" s="1073"/>
      <c r="AB60" s="1073"/>
      <c r="AC60" s="1073"/>
      <c r="AD60" s="1073"/>
      <c r="AE60" s="1073"/>
      <c r="AF60" s="1073"/>
      <c r="AG60" s="1073"/>
      <c r="AH60" s="1073"/>
    </row>
    <row r="61" spans="12:34" x14ac:dyDescent="0.25">
      <c r="L61" s="1073"/>
      <c r="M61" s="1073"/>
      <c r="N61" s="1073"/>
      <c r="O61" s="1073"/>
      <c r="P61" s="1073"/>
      <c r="Q61" s="1073"/>
      <c r="R61" s="1073"/>
      <c r="S61" s="1073"/>
      <c r="T61" s="1073"/>
      <c r="U61" s="1073"/>
      <c r="X61" s="1073"/>
      <c r="Y61" s="1073"/>
      <c r="Z61" s="1073"/>
      <c r="AA61" s="1073"/>
      <c r="AB61" s="1073"/>
      <c r="AC61" s="1073"/>
      <c r="AD61" s="1073"/>
      <c r="AE61" s="1073"/>
      <c r="AF61" s="1073"/>
      <c r="AG61" s="1073"/>
      <c r="AH61" s="1073"/>
    </row>
    <row r="62" spans="12:34" x14ac:dyDescent="0.25">
      <c r="L62" s="1073"/>
      <c r="M62" s="1073"/>
      <c r="N62" s="1073"/>
      <c r="O62" s="1073"/>
      <c r="P62" s="1073"/>
      <c r="Q62" s="1073"/>
      <c r="R62" s="1073"/>
      <c r="S62" s="1073"/>
      <c r="T62" s="1073"/>
      <c r="U62" s="1073"/>
      <c r="X62" s="1073"/>
      <c r="Y62" s="1073"/>
      <c r="Z62" s="1073"/>
      <c r="AA62" s="1073"/>
      <c r="AB62" s="1073"/>
      <c r="AC62" s="1073"/>
      <c r="AD62" s="1073"/>
      <c r="AE62" s="1073"/>
      <c r="AF62" s="1073"/>
      <c r="AG62" s="1073"/>
      <c r="AH62" s="1073"/>
    </row>
    <row r="63" spans="12:34" x14ac:dyDescent="0.25">
      <c r="L63" s="1073"/>
      <c r="M63" s="1073"/>
      <c r="N63" s="1073"/>
      <c r="O63" s="1073"/>
      <c r="P63" s="1073"/>
      <c r="Q63" s="1073"/>
      <c r="R63" s="1073"/>
      <c r="S63" s="1073"/>
      <c r="T63" s="1073"/>
      <c r="U63" s="1073"/>
      <c r="X63" s="1073"/>
      <c r="Y63" s="1073"/>
      <c r="Z63" s="1073"/>
      <c r="AA63" s="1073"/>
      <c r="AB63" s="1073"/>
      <c r="AC63" s="1073"/>
      <c r="AD63" s="1073"/>
      <c r="AE63" s="1073"/>
      <c r="AF63" s="1073"/>
      <c r="AG63" s="1073"/>
      <c r="AH63" s="1073"/>
    </row>
    <row r="64" spans="12:34" x14ac:dyDescent="0.25">
      <c r="L64" s="1073"/>
      <c r="M64" s="1073"/>
      <c r="N64" s="1073"/>
      <c r="O64" s="1073"/>
      <c r="P64" s="1073"/>
      <c r="Q64" s="1073"/>
      <c r="R64" s="1073"/>
      <c r="S64" s="1073"/>
      <c r="T64" s="1073"/>
      <c r="U64" s="1073"/>
      <c r="X64" s="1073"/>
      <c r="Y64" s="1073"/>
      <c r="Z64" s="1073"/>
      <c r="AA64" s="1073"/>
      <c r="AB64" s="1073"/>
      <c r="AC64" s="1073"/>
      <c r="AD64" s="1073"/>
      <c r="AE64" s="1073"/>
      <c r="AF64" s="1073"/>
      <c r="AG64" s="1073"/>
      <c r="AH64" s="1073"/>
    </row>
    <row r="65" spans="12:34" x14ac:dyDescent="0.25">
      <c r="L65" s="1073"/>
      <c r="M65" s="1073"/>
      <c r="N65" s="1073"/>
      <c r="O65" s="1073"/>
      <c r="P65" s="1073"/>
      <c r="Q65" s="1073"/>
      <c r="R65" s="1073"/>
      <c r="S65" s="1073"/>
      <c r="T65" s="1073"/>
      <c r="U65" s="1073"/>
      <c r="X65" s="1073"/>
      <c r="Y65" s="1073"/>
      <c r="Z65" s="1073"/>
      <c r="AA65" s="1073"/>
      <c r="AB65" s="1073"/>
      <c r="AC65" s="1073"/>
      <c r="AD65" s="1073"/>
      <c r="AE65" s="1073"/>
      <c r="AF65" s="1073"/>
      <c r="AG65" s="1073"/>
      <c r="AH65" s="1073"/>
    </row>
    <row r="66" spans="12:34" x14ac:dyDescent="0.25">
      <c r="L66" s="1073"/>
      <c r="M66" s="1073"/>
      <c r="N66" s="1073"/>
      <c r="O66" s="1073"/>
      <c r="P66" s="1073"/>
      <c r="Q66" s="1073"/>
      <c r="R66" s="1073"/>
      <c r="S66" s="1073"/>
      <c r="T66" s="1073"/>
      <c r="U66" s="1073"/>
      <c r="X66" s="1073"/>
      <c r="Y66" s="1073"/>
      <c r="Z66" s="1073"/>
      <c r="AA66" s="1073"/>
      <c r="AB66" s="1073"/>
      <c r="AC66" s="1073"/>
      <c r="AD66" s="1073"/>
      <c r="AE66" s="1073"/>
      <c r="AF66" s="1073"/>
      <c r="AG66" s="1073"/>
      <c r="AH66" s="1073"/>
    </row>
    <row r="67" spans="12:34" x14ac:dyDescent="0.25">
      <c r="L67" s="1073"/>
      <c r="M67" s="1073"/>
      <c r="N67" s="1073"/>
      <c r="O67" s="1073"/>
      <c r="P67" s="1073"/>
      <c r="Q67" s="1073"/>
      <c r="R67" s="1073"/>
      <c r="S67" s="1073"/>
      <c r="T67" s="1073"/>
      <c r="U67" s="1073"/>
      <c r="X67" s="1073"/>
      <c r="Y67" s="1073"/>
      <c r="Z67" s="1073"/>
      <c r="AA67" s="1073"/>
      <c r="AB67" s="1073"/>
      <c r="AC67" s="1073"/>
      <c r="AD67" s="1073"/>
      <c r="AE67" s="1073"/>
      <c r="AF67" s="1073"/>
      <c r="AG67" s="1073"/>
      <c r="AH67" s="1073"/>
    </row>
    <row r="68" spans="12:34" x14ac:dyDescent="0.25">
      <c r="L68" s="1073"/>
      <c r="M68" s="1073"/>
      <c r="N68" s="1073"/>
      <c r="O68" s="1073"/>
      <c r="P68" s="1073"/>
      <c r="Q68" s="1073"/>
      <c r="R68" s="1073"/>
      <c r="S68" s="1073"/>
      <c r="T68" s="1073"/>
      <c r="U68" s="1073"/>
      <c r="X68" s="1073"/>
      <c r="Y68" s="1073"/>
      <c r="Z68" s="1073"/>
      <c r="AA68" s="1073"/>
      <c r="AB68" s="1073"/>
      <c r="AC68" s="1073"/>
      <c r="AD68" s="1073"/>
      <c r="AE68" s="1073"/>
      <c r="AF68" s="1073"/>
      <c r="AG68" s="1073"/>
      <c r="AH68" s="1073"/>
    </row>
    <row r="69" spans="12:34" x14ac:dyDescent="0.25">
      <c r="L69" s="1073"/>
      <c r="M69" s="1073"/>
      <c r="N69" s="1073"/>
      <c r="O69" s="1073"/>
      <c r="P69" s="1073"/>
      <c r="Q69" s="1073"/>
      <c r="R69" s="1073"/>
      <c r="S69" s="1073"/>
      <c r="T69" s="1073"/>
      <c r="U69" s="1073"/>
      <c r="X69" s="1073"/>
      <c r="Y69" s="1073"/>
      <c r="Z69" s="1073"/>
      <c r="AA69" s="1073"/>
      <c r="AB69" s="1073"/>
      <c r="AC69" s="1073"/>
      <c r="AD69" s="1073"/>
      <c r="AE69" s="1073"/>
      <c r="AF69" s="1073"/>
      <c r="AG69" s="1073"/>
      <c r="AH69" s="1073"/>
    </row>
    <row r="70" spans="12:34" x14ac:dyDescent="0.25">
      <c r="L70" s="1073"/>
      <c r="M70" s="1073"/>
      <c r="N70" s="1073"/>
      <c r="O70" s="1073"/>
      <c r="P70" s="1073"/>
      <c r="Q70" s="1073"/>
      <c r="R70" s="1073"/>
      <c r="S70" s="1073"/>
      <c r="T70" s="1073"/>
      <c r="U70" s="1073"/>
      <c r="X70" s="1073"/>
      <c r="Y70" s="1073"/>
      <c r="Z70" s="1073"/>
      <c r="AA70" s="1073"/>
      <c r="AB70" s="1073"/>
      <c r="AC70" s="1073"/>
      <c r="AD70" s="1073"/>
      <c r="AE70" s="1073"/>
      <c r="AF70" s="1073"/>
      <c r="AG70" s="1073"/>
      <c r="AH70" s="1073"/>
    </row>
    <row r="71" spans="12:34" x14ac:dyDescent="0.25">
      <c r="L71" s="1073"/>
      <c r="M71" s="1073"/>
      <c r="N71" s="1073"/>
      <c r="O71" s="1073"/>
      <c r="P71" s="1073"/>
      <c r="Q71" s="1073"/>
      <c r="R71" s="1073"/>
      <c r="S71" s="1073"/>
      <c r="T71" s="1073"/>
      <c r="U71" s="1073"/>
      <c r="X71" s="1073"/>
      <c r="Y71" s="1073"/>
      <c r="Z71" s="1073"/>
      <c r="AA71" s="1073"/>
      <c r="AB71" s="1073"/>
      <c r="AC71" s="1073"/>
      <c r="AD71" s="1073"/>
      <c r="AE71" s="1073"/>
      <c r="AF71" s="1073"/>
      <c r="AG71" s="1073"/>
      <c r="AH71" s="1073"/>
    </row>
    <row r="72" spans="12:34" x14ac:dyDescent="0.25">
      <c r="L72" s="1073"/>
      <c r="M72" s="1073"/>
      <c r="N72" s="1073"/>
      <c r="O72" s="1073"/>
      <c r="P72" s="1073"/>
      <c r="Q72" s="1073"/>
      <c r="R72" s="1073"/>
      <c r="S72" s="1073"/>
      <c r="T72" s="1073"/>
      <c r="U72" s="1073"/>
      <c r="X72" s="1073"/>
      <c r="Y72" s="1073"/>
      <c r="Z72" s="1073"/>
      <c r="AA72" s="1073"/>
      <c r="AB72" s="1073"/>
      <c r="AC72" s="1073"/>
      <c r="AD72" s="1073"/>
      <c r="AE72" s="1073"/>
      <c r="AF72" s="1073"/>
      <c r="AG72" s="1073"/>
      <c r="AH72" s="1073"/>
    </row>
    <row r="73" spans="12:34" x14ac:dyDescent="0.25">
      <c r="L73" s="1073"/>
      <c r="M73" s="1073"/>
      <c r="N73" s="1073"/>
      <c r="O73" s="1073"/>
      <c r="P73" s="1073"/>
      <c r="Q73" s="1073"/>
      <c r="R73" s="1073"/>
      <c r="S73" s="1073"/>
      <c r="T73" s="1073"/>
      <c r="U73" s="1073"/>
      <c r="X73" s="1073"/>
      <c r="Y73" s="1073"/>
      <c r="Z73" s="1073"/>
      <c r="AA73" s="1073"/>
      <c r="AB73" s="1073"/>
      <c r="AC73" s="1073"/>
      <c r="AD73" s="1073"/>
      <c r="AE73" s="1073"/>
      <c r="AF73" s="1073"/>
      <c r="AG73" s="1073"/>
      <c r="AH73" s="1073"/>
    </row>
    <row r="74" spans="12:34" x14ac:dyDescent="0.25">
      <c r="L74" s="1073"/>
      <c r="M74" s="1073"/>
      <c r="N74" s="1073"/>
      <c r="O74" s="1073"/>
      <c r="P74" s="1073"/>
      <c r="Q74" s="1073"/>
      <c r="R74" s="1073"/>
      <c r="S74" s="1073"/>
      <c r="T74" s="1073"/>
      <c r="U74" s="1073"/>
      <c r="X74" s="1073"/>
      <c r="Y74" s="1073"/>
      <c r="Z74" s="1073"/>
      <c r="AA74" s="1073"/>
      <c r="AB74" s="1073"/>
      <c r="AC74" s="1073"/>
      <c r="AD74" s="1073"/>
      <c r="AE74" s="1073"/>
      <c r="AF74" s="1073"/>
      <c r="AG74" s="1073"/>
      <c r="AH74" s="1073"/>
    </row>
    <row r="75" spans="12:34" x14ac:dyDescent="0.25">
      <c r="L75" s="1073"/>
      <c r="M75" s="1073"/>
      <c r="N75" s="1073"/>
      <c r="O75" s="1073"/>
      <c r="P75" s="1073"/>
      <c r="Q75" s="1073"/>
      <c r="R75" s="1073"/>
      <c r="S75" s="1073"/>
      <c r="T75" s="1073"/>
      <c r="U75" s="1073"/>
      <c r="X75" s="1073"/>
      <c r="Y75" s="1073"/>
      <c r="Z75" s="1073"/>
      <c r="AA75" s="1073"/>
      <c r="AB75" s="1073"/>
      <c r="AC75" s="1073"/>
      <c r="AD75" s="1073"/>
      <c r="AE75" s="1073"/>
      <c r="AF75" s="1073"/>
      <c r="AG75" s="1073"/>
      <c r="AH75" s="1073"/>
    </row>
    <row r="76" spans="12:34" x14ac:dyDescent="0.25">
      <c r="L76" s="1073"/>
      <c r="M76" s="1073"/>
      <c r="N76" s="1073"/>
      <c r="O76" s="1073"/>
      <c r="P76" s="1073"/>
      <c r="Q76" s="1073"/>
      <c r="R76" s="1073"/>
      <c r="S76" s="1073"/>
      <c r="T76" s="1073"/>
      <c r="U76" s="1073"/>
      <c r="X76" s="1073"/>
      <c r="Y76" s="1073"/>
      <c r="Z76" s="1073"/>
      <c r="AA76" s="1073"/>
      <c r="AB76" s="1073"/>
      <c r="AC76" s="1073"/>
      <c r="AD76" s="1073"/>
      <c r="AE76" s="1073"/>
      <c r="AF76" s="1073"/>
      <c r="AG76" s="1073"/>
      <c r="AH76" s="1073"/>
    </row>
    <row r="77" spans="12:34" x14ac:dyDescent="0.25">
      <c r="L77" s="1073"/>
      <c r="M77" s="1073"/>
      <c r="N77" s="1073"/>
      <c r="O77" s="1073"/>
      <c r="P77" s="1073"/>
      <c r="Q77" s="1073"/>
      <c r="R77" s="1073"/>
      <c r="S77" s="1073"/>
      <c r="T77" s="1073"/>
      <c r="U77" s="1073"/>
      <c r="X77" s="1073"/>
      <c r="Y77" s="1073"/>
      <c r="Z77" s="1073"/>
      <c r="AA77" s="1073"/>
      <c r="AB77" s="1073"/>
      <c r="AC77" s="1073"/>
      <c r="AD77" s="1073"/>
      <c r="AE77" s="1073"/>
      <c r="AF77" s="1073"/>
      <c r="AG77" s="1073"/>
      <c r="AH77" s="1073"/>
    </row>
    <row r="78" spans="12:34" x14ac:dyDescent="0.25">
      <c r="L78" s="1073"/>
      <c r="M78" s="1073"/>
      <c r="N78" s="1073"/>
      <c r="O78" s="1073"/>
      <c r="P78" s="1073"/>
      <c r="Q78" s="1073"/>
      <c r="R78" s="1073"/>
      <c r="S78" s="1073"/>
      <c r="T78" s="1073"/>
      <c r="U78" s="1073"/>
      <c r="X78" s="1073"/>
      <c r="Y78" s="1073"/>
      <c r="Z78" s="1073"/>
      <c r="AA78" s="1073"/>
      <c r="AB78" s="1073"/>
      <c r="AC78" s="1073"/>
      <c r="AD78" s="1073"/>
      <c r="AE78" s="1073"/>
      <c r="AF78" s="1073"/>
      <c r="AG78" s="1073"/>
      <c r="AH78" s="1073"/>
    </row>
    <row r="79" spans="12:34" x14ac:dyDescent="0.25">
      <c r="L79" s="1073"/>
      <c r="M79" s="1073"/>
      <c r="N79" s="1073"/>
      <c r="O79" s="1073"/>
      <c r="P79" s="1073"/>
      <c r="Q79" s="1073"/>
      <c r="R79" s="1073"/>
      <c r="S79" s="1073"/>
      <c r="T79" s="1073"/>
      <c r="U79" s="1073"/>
      <c r="X79" s="1073"/>
      <c r="Y79" s="1073"/>
      <c r="Z79" s="1073"/>
      <c r="AA79" s="1073"/>
      <c r="AB79" s="1073"/>
      <c r="AC79" s="1073"/>
      <c r="AD79" s="1073"/>
      <c r="AE79" s="1073"/>
      <c r="AF79" s="1073"/>
      <c r="AG79" s="1073"/>
      <c r="AH79" s="1073"/>
    </row>
    <row r="80" spans="12:34" x14ac:dyDescent="0.25">
      <c r="L80" s="1073"/>
      <c r="M80" s="1073"/>
      <c r="N80" s="1073"/>
      <c r="O80" s="1073"/>
      <c r="P80" s="1073"/>
      <c r="Q80" s="1073"/>
      <c r="R80" s="1073"/>
      <c r="S80" s="1073"/>
      <c r="T80" s="1073"/>
      <c r="U80" s="1073"/>
      <c r="X80" s="1073"/>
      <c r="Y80" s="1073"/>
      <c r="Z80" s="1073"/>
      <c r="AA80" s="1073"/>
      <c r="AB80" s="1073"/>
      <c r="AC80" s="1073"/>
      <c r="AD80" s="1073"/>
      <c r="AE80" s="1073"/>
      <c r="AF80" s="1073"/>
      <c r="AG80" s="1073"/>
      <c r="AH80" s="1073"/>
    </row>
    <row r="81" spans="12:34" x14ac:dyDescent="0.25">
      <c r="L81" s="1073"/>
      <c r="M81" s="1073"/>
      <c r="N81" s="1073"/>
      <c r="O81" s="1073"/>
      <c r="P81" s="1073"/>
      <c r="Q81" s="1073"/>
      <c r="R81" s="1073"/>
      <c r="S81" s="1073"/>
      <c r="T81" s="1073"/>
      <c r="U81" s="1073"/>
      <c r="X81" s="1073"/>
      <c r="Y81" s="1073"/>
      <c r="Z81" s="1073"/>
      <c r="AA81" s="1073"/>
      <c r="AB81" s="1073"/>
      <c r="AC81" s="1073"/>
      <c r="AD81" s="1073"/>
      <c r="AE81" s="1073"/>
      <c r="AF81" s="1073"/>
      <c r="AG81" s="1073"/>
      <c r="AH81" s="1073"/>
    </row>
    <row r="82" spans="12:34" x14ac:dyDescent="0.25">
      <c r="L82" s="1073"/>
      <c r="M82" s="1073"/>
      <c r="N82" s="1073"/>
      <c r="O82" s="1073"/>
      <c r="P82" s="1073"/>
      <c r="Q82" s="1073"/>
      <c r="R82" s="1073"/>
      <c r="S82" s="1073"/>
      <c r="T82" s="1073"/>
      <c r="U82" s="1073"/>
      <c r="X82" s="1073"/>
      <c r="Y82" s="1073"/>
      <c r="Z82" s="1073"/>
      <c r="AA82" s="1073"/>
      <c r="AB82" s="1073"/>
      <c r="AC82" s="1073"/>
      <c r="AD82" s="1073"/>
      <c r="AE82" s="1073"/>
      <c r="AF82" s="1073"/>
      <c r="AG82" s="1073"/>
      <c r="AH82" s="1073"/>
    </row>
    <row r="83" spans="12:34" x14ac:dyDescent="0.25">
      <c r="L83" s="1073"/>
      <c r="M83" s="1073"/>
      <c r="N83" s="1073"/>
      <c r="O83" s="1073"/>
      <c r="P83" s="1073"/>
      <c r="Q83" s="1073"/>
      <c r="R83" s="1073"/>
      <c r="S83" s="1073"/>
      <c r="T83" s="1073"/>
      <c r="U83" s="1073"/>
      <c r="X83" s="1073"/>
      <c r="Y83" s="1073"/>
      <c r="Z83" s="1073"/>
      <c r="AA83" s="1073"/>
      <c r="AB83" s="1073"/>
      <c r="AC83" s="1073"/>
      <c r="AD83" s="1073"/>
      <c r="AE83" s="1073"/>
      <c r="AF83" s="1073"/>
      <c r="AG83" s="1073"/>
      <c r="AH83" s="1073"/>
    </row>
    <row r="84" spans="12:34" x14ac:dyDescent="0.25">
      <c r="L84" s="1073"/>
      <c r="M84" s="1073"/>
      <c r="N84" s="1073"/>
      <c r="O84" s="1073"/>
      <c r="P84" s="1073"/>
      <c r="Q84" s="1073"/>
      <c r="R84" s="1073"/>
      <c r="S84" s="1073"/>
      <c r="T84" s="1073"/>
      <c r="U84" s="1073"/>
      <c r="X84" s="1073"/>
      <c r="Y84" s="1073"/>
      <c r="Z84" s="1073"/>
      <c r="AA84" s="1073"/>
      <c r="AB84" s="1073"/>
      <c r="AC84" s="1073"/>
      <c r="AD84" s="1073"/>
      <c r="AE84" s="1073"/>
      <c r="AF84" s="1073"/>
      <c r="AG84" s="1073"/>
      <c r="AH84" s="1073"/>
    </row>
    <row r="85" spans="12:34" x14ac:dyDescent="0.25">
      <c r="L85" s="1073"/>
      <c r="M85" s="1073"/>
      <c r="N85" s="1073"/>
      <c r="O85" s="1073"/>
      <c r="P85" s="1073"/>
      <c r="Q85" s="1073"/>
      <c r="R85" s="1073"/>
      <c r="S85" s="1073"/>
      <c r="T85" s="1073"/>
      <c r="U85" s="1073"/>
      <c r="X85" s="1073"/>
      <c r="Y85" s="1073"/>
      <c r="Z85" s="1073"/>
      <c r="AA85" s="1073"/>
      <c r="AB85" s="1073"/>
      <c r="AC85" s="1073"/>
      <c r="AD85" s="1073"/>
      <c r="AE85" s="1073"/>
      <c r="AF85" s="1073"/>
      <c r="AG85" s="1073"/>
      <c r="AH85" s="1073"/>
    </row>
    <row r="86" spans="12:34" x14ac:dyDescent="0.25">
      <c r="L86" s="1073"/>
      <c r="M86" s="1073"/>
      <c r="N86" s="1073"/>
      <c r="O86" s="1073"/>
      <c r="P86" s="1073"/>
      <c r="Q86" s="1073"/>
      <c r="R86" s="1073"/>
      <c r="S86" s="1073"/>
      <c r="T86" s="1073"/>
      <c r="U86" s="1073"/>
      <c r="X86" s="1073"/>
      <c r="Y86" s="1073"/>
      <c r="Z86" s="1073"/>
      <c r="AA86" s="1073"/>
      <c r="AB86" s="1073"/>
      <c r="AC86" s="1073"/>
      <c r="AD86" s="1073"/>
      <c r="AE86" s="1073"/>
      <c r="AF86" s="1073"/>
      <c r="AG86" s="1073"/>
      <c r="AH86" s="1073"/>
    </row>
    <row r="87" spans="12:34" x14ac:dyDescent="0.25">
      <c r="L87" s="1073"/>
      <c r="M87" s="1073"/>
      <c r="N87" s="1073"/>
      <c r="O87" s="1073"/>
      <c r="P87" s="1073"/>
      <c r="Q87" s="1073"/>
      <c r="R87" s="1073"/>
      <c r="S87" s="1073"/>
      <c r="T87" s="1073"/>
      <c r="U87" s="1073"/>
      <c r="X87" s="1073"/>
      <c r="Y87" s="1073"/>
      <c r="Z87" s="1073"/>
      <c r="AA87" s="1073"/>
      <c r="AB87" s="1073"/>
      <c r="AC87" s="1073"/>
      <c r="AD87" s="1073"/>
      <c r="AE87" s="1073"/>
      <c r="AF87" s="1073"/>
      <c r="AG87" s="1073"/>
      <c r="AH87" s="1073"/>
    </row>
    <row r="88" spans="12:34" x14ac:dyDescent="0.25">
      <c r="L88" s="1073"/>
      <c r="M88" s="1073"/>
      <c r="N88" s="1073"/>
      <c r="O88" s="1073"/>
      <c r="P88" s="1073"/>
      <c r="Q88" s="1073"/>
      <c r="R88" s="1073"/>
      <c r="S88" s="1073"/>
      <c r="T88" s="1073"/>
      <c r="U88" s="1073"/>
      <c r="X88" s="1073"/>
      <c r="Y88" s="1073"/>
      <c r="Z88" s="1073"/>
      <c r="AA88" s="1073"/>
      <c r="AB88" s="1073"/>
      <c r="AC88" s="1073"/>
      <c r="AD88" s="1073"/>
      <c r="AE88" s="1073"/>
      <c r="AF88" s="1073"/>
      <c r="AG88" s="1073"/>
      <c r="AH88" s="1073"/>
    </row>
    <row r="89" spans="12:34" x14ac:dyDescent="0.25">
      <c r="L89" s="1073"/>
      <c r="M89" s="1073"/>
      <c r="N89" s="1073"/>
      <c r="O89" s="1073"/>
      <c r="P89" s="1073"/>
      <c r="Q89" s="1073"/>
      <c r="R89" s="1073"/>
      <c r="S89" s="1073"/>
      <c r="T89" s="1073"/>
      <c r="U89" s="1073"/>
      <c r="X89" s="1073"/>
      <c r="Y89" s="1073"/>
      <c r="Z89" s="1073"/>
      <c r="AA89" s="1073"/>
      <c r="AB89" s="1073"/>
      <c r="AC89" s="1073"/>
      <c r="AD89" s="1073"/>
      <c r="AE89" s="1073"/>
      <c r="AF89" s="1073"/>
      <c r="AG89" s="1073"/>
      <c r="AH89" s="1073"/>
    </row>
    <row r="90" spans="12:34" x14ac:dyDescent="0.25">
      <c r="L90" s="1073"/>
      <c r="M90" s="1073"/>
      <c r="N90" s="1073"/>
      <c r="O90" s="1073"/>
      <c r="P90" s="1073"/>
      <c r="Q90" s="1073"/>
      <c r="R90" s="1073"/>
      <c r="S90" s="1073"/>
      <c r="T90" s="1073"/>
      <c r="U90" s="1073"/>
      <c r="X90" s="1073"/>
      <c r="Y90" s="1073"/>
      <c r="Z90" s="1073"/>
      <c r="AA90" s="1073"/>
      <c r="AB90" s="1073"/>
      <c r="AC90" s="1073"/>
      <c r="AD90" s="1073"/>
      <c r="AE90" s="1073"/>
      <c r="AF90" s="1073"/>
      <c r="AG90" s="1073"/>
      <c r="AH90" s="1073"/>
    </row>
    <row r="91" spans="12:34" x14ac:dyDescent="0.25">
      <c r="L91" s="1073"/>
      <c r="M91" s="1073"/>
      <c r="N91" s="1073"/>
      <c r="O91" s="1073"/>
      <c r="P91" s="1073"/>
      <c r="Q91" s="1073"/>
      <c r="R91" s="1073"/>
      <c r="S91" s="1073"/>
      <c r="T91" s="1073"/>
      <c r="U91" s="1073"/>
      <c r="X91" s="1073"/>
      <c r="Y91" s="1073"/>
      <c r="Z91" s="1073"/>
      <c r="AA91" s="1073"/>
      <c r="AB91" s="1073"/>
      <c r="AC91" s="1073"/>
      <c r="AD91" s="1073"/>
      <c r="AE91" s="1073"/>
      <c r="AF91" s="1073"/>
      <c r="AG91" s="1073"/>
      <c r="AH91" s="1073"/>
    </row>
    <row r="92" spans="12:34" x14ac:dyDescent="0.25">
      <c r="L92" s="1073"/>
      <c r="M92" s="1073"/>
      <c r="N92" s="1073"/>
      <c r="O92" s="1073"/>
      <c r="P92" s="1073"/>
      <c r="Q92" s="1073"/>
      <c r="R92" s="1073"/>
      <c r="S92" s="1073"/>
      <c r="T92" s="1073"/>
      <c r="U92" s="1073"/>
      <c r="X92" s="1073"/>
      <c r="Y92" s="1073"/>
      <c r="Z92" s="1073"/>
      <c r="AA92" s="1073"/>
      <c r="AB92" s="1073"/>
      <c r="AC92" s="1073"/>
      <c r="AD92" s="1073"/>
      <c r="AE92" s="1073"/>
      <c r="AF92" s="1073"/>
      <c r="AG92" s="1073"/>
      <c r="AH92" s="1073"/>
    </row>
    <row r="93" spans="12:34" x14ac:dyDescent="0.25">
      <c r="L93" s="1073"/>
      <c r="M93" s="1073"/>
      <c r="N93" s="1073"/>
      <c r="O93" s="1073"/>
      <c r="P93" s="1073"/>
      <c r="Q93" s="1073"/>
      <c r="R93" s="1073"/>
      <c r="S93" s="1073"/>
      <c r="T93" s="1073"/>
      <c r="U93" s="1073"/>
      <c r="X93" s="1073"/>
      <c r="Y93" s="1073"/>
      <c r="Z93" s="1073"/>
      <c r="AA93" s="1073"/>
      <c r="AB93" s="1073"/>
      <c r="AC93" s="1073"/>
      <c r="AD93" s="1073"/>
      <c r="AE93" s="1073"/>
      <c r="AF93" s="1073"/>
      <c r="AG93" s="1073"/>
      <c r="AH93" s="1073"/>
    </row>
    <row r="94" spans="12:34" x14ac:dyDescent="0.25">
      <c r="L94" s="1073"/>
      <c r="M94" s="1073"/>
      <c r="N94" s="1073"/>
      <c r="O94" s="1073"/>
      <c r="P94" s="1073"/>
      <c r="Q94" s="1073"/>
      <c r="R94" s="1073"/>
      <c r="S94" s="1073"/>
      <c r="T94" s="1073"/>
      <c r="U94" s="1073"/>
      <c r="X94" s="1073"/>
      <c r="Y94" s="1073"/>
      <c r="Z94" s="1073"/>
      <c r="AA94" s="1073"/>
      <c r="AB94" s="1073"/>
      <c r="AC94" s="1073"/>
      <c r="AD94" s="1073"/>
      <c r="AE94" s="1073"/>
      <c r="AF94" s="1073"/>
      <c r="AG94" s="1073"/>
      <c r="AH94" s="1073"/>
    </row>
    <row r="95" spans="12:34" x14ac:dyDescent="0.25">
      <c r="L95" s="1073"/>
      <c r="M95" s="1073"/>
      <c r="N95" s="1073"/>
      <c r="O95" s="1073"/>
      <c r="P95" s="1073"/>
      <c r="Q95" s="1073"/>
      <c r="R95" s="1073"/>
      <c r="S95" s="1073"/>
      <c r="T95" s="1073"/>
      <c r="U95" s="1073"/>
      <c r="X95" s="1073"/>
      <c r="Y95" s="1073"/>
      <c r="Z95" s="1073"/>
      <c r="AA95" s="1073"/>
      <c r="AB95" s="1073"/>
      <c r="AC95" s="1073"/>
      <c r="AD95" s="1073"/>
      <c r="AE95" s="1073"/>
      <c r="AF95" s="1073"/>
      <c r="AG95" s="1073"/>
      <c r="AH95" s="1073"/>
    </row>
    <row r="96" spans="12:34" x14ac:dyDescent="0.25">
      <c r="L96" s="1073"/>
      <c r="M96" s="1073"/>
      <c r="N96" s="1073"/>
      <c r="O96" s="1073"/>
      <c r="P96" s="1073"/>
      <c r="Q96" s="1073"/>
      <c r="R96" s="1073"/>
      <c r="S96" s="1073"/>
      <c r="T96" s="1073"/>
      <c r="U96" s="1073"/>
      <c r="X96" s="1073"/>
      <c r="Y96" s="1073"/>
      <c r="Z96" s="1073"/>
      <c r="AA96" s="1073"/>
      <c r="AB96" s="1073"/>
      <c r="AC96" s="1073"/>
      <c r="AD96" s="1073"/>
      <c r="AE96" s="1073"/>
      <c r="AF96" s="1073"/>
      <c r="AG96" s="1073"/>
      <c r="AH96" s="1073"/>
    </row>
    <row r="97" spans="12:34" x14ac:dyDescent="0.25">
      <c r="L97" s="1073"/>
      <c r="M97" s="1073"/>
      <c r="N97" s="1073"/>
      <c r="O97" s="1073"/>
      <c r="P97" s="1073"/>
      <c r="Q97" s="1073"/>
      <c r="R97" s="1073"/>
      <c r="S97" s="1073"/>
      <c r="T97" s="1073"/>
      <c r="U97" s="1073"/>
      <c r="X97" s="1073"/>
      <c r="Y97" s="1073"/>
      <c r="Z97" s="1073"/>
      <c r="AA97" s="1073"/>
      <c r="AB97" s="1073"/>
      <c r="AC97" s="1073"/>
      <c r="AD97" s="1073"/>
      <c r="AE97" s="1073"/>
      <c r="AF97" s="1073"/>
      <c r="AG97" s="1073"/>
      <c r="AH97" s="1073"/>
    </row>
    <row r="98" spans="12:34" x14ac:dyDescent="0.25">
      <c r="L98" s="1073"/>
      <c r="M98" s="1073"/>
      <c r="N98" s="1073"/>
      <c r="O98" s="1073"/>
      <c r="P98" s="1073"/>
      <c r="Q98" s="1073"/>
      <c r="R98" s="1073"/>
      <c r="S98" s="1073"/>
      <c r="T98" s="1073"/>
      <c r="U98" s="1073"/>
      <c r="X98" s="1073"/>
      <c r="Y98" s="1073"/>
      <c r="Z98" s="1073"/>
      <c r="AA98" s="1073"/>
      <c r="AB98" s="1073"/>
      <c r="AC98" s="1073"/>
      <c r="AD98" s="1073"/>
      <c r="AE98" s="1073"/>
      <c r="AF98" s="1073"/>
      <c r="AG98" s="1073"/>
      <c r="AH98" s="1073"/>
    </row>
    <row r="99" spans="12:34" x14ac:dyDescent="0.25">
      <c r="L99" s="1073"/>
      <c r="M99" s="1073"/>
      <c r="N99" s="1073"/>
      <c r="O99" s="1073"/>
      <c r="P99" s="1073"/>
      <c r="Q99" s="1073"/>
      <c r="R99" s="1073"/>
      <c r="S99" s="1073"/>
      <c r="T99" s="1073"/>
      <c r="U99" s="1073"/>
      <c r="X99" s="1073"/>
      <c r="Y99" s="1073"/>
      <c r="Z99" s="1073"/>
      <c r="AA99" s="1073"/>
      <c r="AB99" s="1073"/>
      <c r="AC99" s="1073"/>
      <c r="AD99" s="1073"/>
      <c r="AE99" s="1073"/>
      <c r="AF99" s="1073"/>
      <c r="AG99" s="1073"/>
      <c r="AH99" s="1073"/>
    </row>
    <row r="100" spans="12:34" x14ac:dyDescent="0.25">
      <c r="L100" s="1073"/>
      <c r="M100" s="1073"/>
      <c r="N100" s="1073"/>
      <c r="O100" s="1073"/>
      <c r="P100" s="1073"/>
      <c r="Q100" s="1073"/>
      <c r="R100" s="1073"/>
      <c r="S100" s="1073"/>
      <c r="T100" s="1073"/>
      <c r="U100" s="1073"/>
      <c r="X100" s="1073"/>
      <c r="Y100" s="1073"/>
      <c r="Z100" s="1073"/>
      <c r="AA100" s="1073"/>
      <c r="AB100" s="1073"/>
      <c r="AC100" s="1073"/>
      <c r="AD100" s="1073"/>
      <c r="AE100" s="1073"/>
      <c r="AF100" s="1073"/>
      <c r="AG100" s="1073"/>
      <c r="AH100" s="1073"/>
    </row>
    <row r="101" spans="12:34" x14ac:dyDescent="0.25">
      <c r="L101" s="1073"/>
      <c r="M101" s="1073"/>
      <c r="N101" s="1073"/>
      <c r="O101" s="1073"/>
      <c r="P101" s="1073"/>
      <c r="Q101" s="1073"/>
      <c r="R101" s="1073"/>
      <c r="S101" s="1073"/>
      <c r="T101" s="1073"/>
      <c r="U101" s="1073"/>
      <c r="X101" s="1073"/>
      <c r="Y101" s="1073"/>
      <c r="Z101" s="1073"/>
      <c r="AA101" s="1073"/>
      <c r="AB101" s="1073"/>
      <c r="AC101" s="1073"/>
      <c r="AD101" s="1073"/>
      <c r="AE101" s="1073"/>
      <c r="AF101" s="1073"/>
      <c r="AG101" s="1073"/>
      <c r="AH101" s="1073"/>
    </row>
    <row r="102" spans="12:34" x14ac:dyDescent="0.25">
      <c r="L102" s="1073"/>
      <c r="M102" s="1073"/>
      <c r="N102" s="1073"/>
      <c r="O102" s="1073"/>
      <c r="P102" s="1073"/>
      <c r="Q102" s="1073"/>
      <c r="R102" s="1073"/>
      <c r="S102" s="1073"/>
      <c r="T102" s="1073"/>
      <c r="U102" s="1073"/>
      <c r="X102" s="1073"/>
      <c r="Y102" s="1073"/>
      <c r="Z102" s="1073"/>
      <c r="AA102" s="1073"/>
      <c r="AB102" s="1073"/>
      <c r="AC102" s="1073"/>
      <c r="AD102" s="1073"/>
      <c r="AE102" s="1073"/>
      <c r="AF102" s="1073"/>
      <c r="AG102" s="1073"/>
      <c r="AH102" s="1073"/>
    </row>
    <row r="103" spans="12:34" x14ac:dyDescent="0.25">
      <c r="L103" s="1073"/>
      <c r="M103" s="1073"/>
      <c r="N103" s="1073"/>
      <c r="O103" s="1073"/>
      <c r="P103" s="1073"/>
      <c r="Q103" s="1073"/>
      <c r="R103" s="1073"/>
      <c r="S103" s="1073"/>
      <c r="T103" s="1073"/>
      <c r="U103" s="1073"/>
      <c r="X103" s="1073"/>
      <c r="Y103" s="1073"/>
      <c r="Z103" s="1073"/>
      <c r="AA103" s="1073"/>
      <c r="AB103" s="1073"/>
      <c r="AC103" s="1073"/>
      <c r="AD103" s="1073"/>
      <c r="AE103" s="1073"/>
      <c r="AF103" s="1073"/>
      <c r="AG103" s="1073"/>
      <c r="AH103" s="1073"/>
    </row>
    <row r="104" spans="12:34" x14ac:dyDescent="0.25">
      <c r="L104" s="1073"/>
      <c r="M104" s="1073"/>
      <c r="N104" s="1073"/>
      <c r="O104" s="1073"/>
      <c r="P104" s="1073"/>
      <c r="Q104" s="1073"/>
      <c r="R104" s="1073"/>
      <c r="S104" s="1073"/>
      <c r="T104" s="1073"/>
      <c r="U104" s="1073"/>
      <c r="X104" s="1073"/>
      <c r="Y104" s="1073"/>
      <c r="Z104" s="1073"/>
      <c r="AA104" s="1073"/>
      <c r="AB104" s="1073"/>
      <c r="AC104" s="1073"/>
      <c r="AD104" s="1073"/>
      <c r="AE104" s="1073"/>
      <c r="AF104" s="1073"/>
      <c r="AG104" s="1073"/>
      <c r="AH104" s="1073"/>
    </row>
    <row r="105" spans="12:34" x14ac:dyDescent="0.25">
      <c r="L105" s="1073"/>
      <c r="M105" s="1073"/>
      <c r="N105" s="1073"/>
      <c r="O105" s="1073"/>
      <c r="P105" s="1073"/>
      <c r="Q105" s="1073"/>
      <c r="R105" s="1073"/>
      <c r="S105" s="1073"/>
      <c r="T105" s="1073"/>
      <c r="U105" s="1073"/>
      <c r="X105" s="1073"/>
      <c r="Y105" s="1073"/>
      <c r="Z105" s="1073"/>
      <c r="AA105" s="1073"/>
      <c r="AB105" s="1073"/>
      <c r="AC105" s="1073"/>
      <c r="AD105" s="1073"/>
      <c r="AE105" s="1073"/>
      <c r="AF105" s="1073"/>
      <c r="AG105" s="1073"/>
      <c r="AH105" s="1073"/>
    </row>
    <row r="106" spans="12:34" x14ac:dyDescent="0.25">
      <c r="L106" s="1073"/>
      <c r="M106" s="1073"/>
      <c r="N106" s="1073"/>
      <c r="O106" s="1073"/>
      <c r="P106" s="1073"/>
      <c r="Q106" s="1073"/>
      <c r="R106" s="1073"/>
      <c r="S106" s="1073"/>
      <c r="T106" s="1073"/>
      <c r="U106" s="1073"/>
      <c r="X106" s="1073"/>
      <c r="Y106" s="1073"/>
      <c r="Z106" s="1073"/>
      <c r="AA106" s="1073"/>
      <c r="AB106" s="1073"/>
      <c r="AC106" s="1073"/>
      <c r="AD106" s="1073"/>
      <c r="AE106" s="1073"/>
      <c r="AF106" s="1073"/>
      <c r="AG106" s="1073"/>
      <c r="AH106" s="1073"/>
    </row>
    <row r="107" spans="12:34" x14ac:dyDescent="0.25">
      <c r="L107" s="1073"/>
      <c r="M107" s="1073"/>
      <c r="N107" s="1073"/>
      <c r="O107" s="1073"/>
      <c r="P107" s="1073"/>
      <c r="Q107" s="1073"/>
      <c r="R107" s="1073"/>
      <c r="S107" s="1073"/>
      <c r="T107" s="1073"/>
      <c r="U107" s="1073"/>
      <c r="X107" s="1073"/>
      <c r="Y107" s="1073"/>
      <c r="Z107" s="1073"/>
      <c r="AA107" s="1073"/>
      <c r="AB107" s="1073"/>
      <c r="AC107" s="1073"/>
      <c r="AD107" s="1073"/>
      <c r="AE107" s="1073"/>
      <c r="AF107" s="1073"/>
      <c r="AG107" s="1073"/>
      <c r="AH107" s="1073"/>
    </row>
    <row r="108" spans="12:34" x14ac:dyDescent="0.25">
      <c r="L108" s="1073"/>
      <c r="M108" s="1073"/>
      <c r="N108" s="1073"/>
      <c r="O108" s="1073"/>
      <c r="P108" s="1073"/>
      <c r="Q108" s="1073"/>
      <c r="R108" s="1073"/>
      <c r="S108" s="1073"/>
      <c r="T108" s="1073"/>
      <c r="U108" s="1073"/>
      <c r="X108" s="1073"/>
      <c r="Y108" s="1073"/>
      <c r="Z108" s="1073"/>
      <c r="AA108" s="1073"/>
      <c r="AB108" s="1073"/>
      <c r="AC108" s="1073"/>
      <c r="AD108" s="1073"/>
      <c r="AE108" s="1073"/>
      <c r="AF108" s="1073"/>
      <c r="AG108" s="1073"/>
      <c r="AH108" s="1073"/>
    </row>
    <row r="109" spans="12:34" x14ac:dyDescent="0.25">
      <c r="L109" s="1073"/>
      <c r="M109" s="1073"/>
      <c r="N109" s="1073"/>
      <c r="O109" s="1073"/>
      <c r="P109" s="1073"/>
      <c r="Q109" s="1073"/>
      <c r="R109" s="1073"/>
      <c r="S109" s="1073"/>
      <c r="T109" s="1073"/>
      <c r="U109" s="1073"/>
      <c r="X109" s="1073"/>
      <c r="Y109" s="1073"/>
      <c r="Z109" s="1073"/>
      <c r="AA109" s="1073"/>
      <c r="AB109" s="1073"/>
      <c r="AC109" s="1073"/>
      <c r="AD109" s="1073"/>
      <c r="AE109" s="1073"/>
      <c r="AF109" s="1073"/>
      <c r="AG109" s="1073"/>
      <c r="AH109" s="1073"/>
    </row>
    <row r="110" spans="12:34" x14ac:dyDescent="0.25">
      <c r="L110" s="1073"/>
      <c r="M110" s="1073"/>
      <c r="N110" s="1073"/>
      <c r="O110" s="1073"/>
      <c r="P110" s="1073"/>
      <c r="Q110" s="1073"/>
      <c r="R110" s="1073"/>
      <c r="S110" s="1073"/>
      <c r="T110" s="1073"/>
      <c r="U110" s="1073"/>
      <c r="X110" s="1073"/>
      <c r="Y110" s="1073"/>
      <c r="Z110" s="1073"/>
      <c r="AA110" s="1073"/>
      <c r="AB110" s="1073"/>
      <c r="AC110" s="1073"/>
      <c r="AD110" s="1073"/>
      <c r="AE110" s="1073"/>
      <c r="AF110" s="1073"/>
      <c r="AG110" s="1073"/>
      <c r="AH110" s="1073"/>
    </row>
    <row r="111" spans="12:34" x14ac:dyDescent="0.25">
      <c r="L111" s="1073"/>
      <c r="M111" s="1073"/>
      <c r="N111" s="1073"/>
      <c r="O111" s="1073"/>
      <c r="P111" s="1073"/>
      <c r="Q111" s="1073"/>
      <c r="R111" s="1073"/>
      <c r="S111" s="1073"/>
      <c r="T111" s="1073"/>
      <c r="U111" s="1073"/>
      <c r="X111" s="1073"/>
      <c r="Y111" s="1073"/>
      <c r="Z111" s="1073"/>
      <c r="AA111" s="1073"/>
      <c r="AB111" s="1073"/>
      <c r="AC111" s="1073"/>
      <c r="AD111" s="1073"/>
      <c r="AE111" s="1073"/>
      <c r="AF111" s="1073"/>
      <c r="AG111" s="1073"/>
      <c r="AH111" s="1073"/>
    </row>
    <row r="112" spans="12:34" x14ac:dyDescent="0.25">
      <c r="X112" s="1073"/>
      <c r="Y112" s="1073"/>
      <c r="Z112" s="1073"/>
      <c r="AA112" s="1073"/>
      <c r="AB112" s="1073"/>
      <c r="AC112" s="1073"/>
      <c r="AD112" s="1073"/>
      <c r="AE112" s="1073"/>
      <c r="AF112" s="1073"/>
      <c r="AG112" s="1073"/>
      <c r="AH112" s="1073"/>
    </row>
    <row r="113" spans="24:34" x14ac:dyDescent="0.25">
      <c r="X113" s="1073"/>
      <c r="Y113" s="1073"/>
      <c r="Z113" s="1073"/>
      <c r="AA113" s="1073"/>
      <c r="AB113" s="1073"/>
      <c r="AC113" s="1073"/>
      <c r="AD113" s="1073"/>
      <c r="AE113" s="1073"/>
      <c r="AF113" s="1073"/>
      <c r="AG113" s="1073"/>
      <c r="AH113" s="1073"/>
    </row>
    <row r="114" spans="24:34" x14ac:dyDescent="0.25">
      <c r="X114" s="1073"/>
      <c r="Y114" s="1073"/>
      <c r="Z114" s="1073"/>
      <c r="AA114" s="1073"/>
      <c r="AB114" s="1073"/>
      <c r="AC114" s="1073"/>
      <c r="AD114" s="1073"/>
      <c r="AE114" s="1073"/>
      <c r="AF114" s="1073"/>
      <c r="AG114" s="1073"/>
      <c r="AH114" s="1073"/>
    </row>
    <row r="115" spans="24:34" x14ac:dyDescent="0.25">
      <c r="X115" s="1073"/>
      <c r="Y115" s="1073"/>
      <c r="Z115" s="1073"/>
      <c r="AA115" s="1073"/>
      <c r="AB115" s="1073"/>
      <c r="AC115" s="1073"/>
      <c r="AD115" s="1073"/>
      <c r="AE115" s="1073"/>
      <c r="AF115" s="1073"/>
      <c r="AG115" s="1073"/>
      <c r="AH115" s="1073"/>
    </row>
    <row r="116" spans="24:34" x14ac:dyDescent="0.25">
      <c r="X116" s="1073"/>
      <c r="Y116" s="1073"/>
      <c r="Z116" s="1073"/>
      <c r="AA116" s="1073"/>
      <c r="AB116" s="1073"/>
      <c r="AC116" s="1073"/>
      <c r="AD116" s="1073"/>
      <c r="AE116" s="1073"/>
      <c r="AF116" s="1073"/>
      <c r="AG116" s="1073"/>
      <c r="AH116" s="1073"/>
    </row>
    <row r="117" spans="24:34" x14ac:dyDescent="0.25">
      <c r="X117" s="1073"/>
      <c r="Y117" s="1073"/>
      <c r="Z117" s="1073"/>
      <c r="AA117" s="1073"/>
      <c r="AB117" s="1073"/>
      <c r="AC117" s="1073"/>
      <c r="AD117" s="1073"/>
      <c r="AE117" s="1073"/>
      <c r="AF117" s="1073"/>
      <c r="AG117" s="1073"/>
      <c r="AH117" s="1073"/>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7AF4-9275-4690-9895-27160881BA63}">
  <sheetPr codeName="Feuil11">
    <pageSetUpPr fitToPage="1"/>
  </sheetPr>
  <dimension ref="A1:S252"/>
  <sheetViews>
    <sheetView zoomScaleNormal="100" workbookViewId="0">
      <selection activeCell="N74" sqref="N74"/>
    </sheetView>
  </sheetViews>
  <sheetFormatPr baseColWidth="10" defaultRowHeight="12.75" x14ac:dyDescent="0.2"/>
  <cols>
    <col min="1" max="1" width="2.125" style="737" customWidth="1"/>
    <col min="2" max="2" width="30.25" style="737" customWidth="1"/>
    <col min="3" max="3" width="9.625" style="737" customWidth="1"/>
    <col min="4" max="4" width="13" style="737" customWidth="1"/>
    <col min="5" max="5" width="9.375" style="737" customWidth="1"/>
    <col min="6" max="6" width="20.875" style="737" customWidth="1"/>
    <col min="7" max="7" width="23.25" style="737" customWidth="1"/>
    <col min="8" max="8" width="20.75" style="737" customWidth="1"/>
    <col min="9" max="9" width="7.875" style="737" customWidth="1"/>
    <col min="10" max="256" width="11" style="737"/>
    <col min="257" max="257" width="2.125" style="737" customWidth="1"/>
    <col min="258" max="258" width="30.25" style="737" customWidth="1"/>
    <col min="259" max="259" width="9.625" style="737" customWidth="1"/>
    <col min="260" max="260" width="13" style="737" customWidth="1"/>
    <col min="261" max="261" width="9.375" style="737" customWidth="1"/>
    <col min="262" max="262" width="20.875" style="737" customWidth="1"/>
    <col min="263" max="263" width="23.25" style="737" customWidth="1"/>
    <col min="264" max="264" width="20.75" style="737" customWidth="1"/>
    <col min="265" max="265" width="2.625" style="737" customWidth="1"/>
    <col min="266" max="512" width="11" style="737"/>
    <col min="513" max="513" width="2.125" style="737" customWidth="1"/>
    <col min="514" max="514" width="30.25" style="737" customWidth="1"/>
    <col min="515" max="515" width="9.625" style="737" customWidth="1"/>
    <col min="516" max="516" width="13" style="737" customWidth="1"/>
    <col min="517" max="517" width="9.375" style="737" customWidth="1"/>
    <col min="518" max="518" width="20.875" style="737" customWidth="1"/>
    <col min="519" max="519" width="23.25" style="737" customWidth="1"/>
    <col min="520" max="520" width="20.75" style="737" customWidth="1"/>
    <col min="521" max="521" width="2.625" style="737" customWidth="1"/>
    <col min="522" max="768" width="11" style="737"/>
    <col min="769" max="769" width="2.125" style="737" customWidth="1"/>
    <col min="770" max="770" width="30.25" style="737" customWidth="1"/>
    <col min="771" max="771" width="9.625" style="737" customWidth="1"/>
    <col min="772" max="772" width="13" style="737" customWidth="1"/>
    <col min="773" max="773" width="9.375" style="737" customWidth="1"/>
    <col min="774" max="774" width="20.875" style="737" customWidth="1"/>
    <col min="775" max="775" width="23.25" style="737" customWidth="1"/>
    <col min="776" max="776" width="20.75" style="737" customWidth="1"/>
    <col min="777" max="777" width="2.625" style="737" customWidth="1"/>
    <col min="778" max="1024" width="11" style="737"/>
    <col min="1025" max="1025" width="2.125" style="737" customWidth="1"/>
    <col min="1026" max="1026" width="30.25" style="737" customWidth="1"/>
    <col min="1027" max="1027" width="9.625" style="737" customWidth="1"/>
    <col min="1028" max="1028" width="13" style="737" customWidth="1"/>
    <col min="1029" max="1029" width="9.375" style="737" customWidth="1"/>
    <col min="1030" max="1030" width="20.875" style="737" customWidth="1"/>
    <col min="1031" max="1031" width="23.25" style="737" customWidth="1"/>
    <col min="1032" max="1032" width="20.75" style="737" customWidth="1"/>
    <col min="1033" max="1033" width="2.625" style="737" customWidth="1"/>
    <col min="1034" max="1280" width="11" style="737"/>
    <col min="1281" max="1281" width="2.125" style="737" customWidth="1"/>
    <col min="1282" max="1282" width="30.25" style="737" customWidth="1"/>
    <col min="1283" max="1283" width="9.625" style="737" customWidth="1"/>
    <col min="1284" max="1284" width="13" style="737" customWidth="1"/>
    <col min="1285" max="1285" width="9.375" style="737" customWidth="1"/>
    <col min="1286" max="1286" width="20.875" style="737" customWidth="1"/>
    <col min="1287" max="1287" width="23.25" style="737" customWidth="1"/>
    <col min="1288" max="1288" width="20.75" style="737" customWidth="1"/>
    <col min="1289" max="1289" width="2.625" style="737" customWidth="1"/>
    <col min="1290" max="1536" width="11" style="737"/>
    <col min="1537" max="1537" width="2.125" style="737" customWidth="1"/>
    <col min="1538" max="1538" width="30.25" style="737" customWidth="1"/>
    <col min="1539" max="1539" width="9.625" style="737" customWidth="1"/>
    <col min="1540" max="1540" width="13" style="737" customWidth="1"/>
    <col min="1541" max="1541" width="9.375" style="737" customWidth="1"/>
    <col min="1542" max="1542" width="20.875" style="737" customWidth="1"/>
    <col min="1543" max="1543" width="23.25" style="737" customWidth="1"/>
    <col min="1544" max="1544" width="20.75" style="737" customWidth="1"/>
    <col min="1545" max="1545" width="2.625" style="737" customWidth="1"/>
    <col min="1546" max="1792" width="11" style="737"/>
    <col min="1793" max="1793" width="2.125" style="737" customWidth="1"/>
    <col min="1794" max="1794" width="30.25" style="737" customWidth="1"/>
    <col min="1795" max="1795" width="9.625" style="737" customWidth="1"/>
    <col min="1796" max="1796" width="13" style="737" customWidth="1"/>
    <col min="1797" max="1797" width="9.375" style="737" customWidth="1"/>
    <col min="1798" max="1798" width="20.875" style="737" customWidth="1"/>
    <col min="1799" max="1799" width="23.25" style="737" customWidth="1"/>
    <col min="1800" max="1800" width="20.75" style="737" customWidth="1"/>
    <col min="1801" max="1801" width="2.625" style="737" customWidth="1"/>
    <col min="1802" max="2048" width="11" style="737"/>
    <col min="2049" max="2049" width="2.125" style="737" customWidth="1"/>
    <col min="2050" max="2050" width="30.25" style="737" customWidth="1"/>
    <col min="2051" max="2051" width="9.625" style="737" customWidth="1"/>
    <col min="2052" max="2052" width="13" style="737" customWidth="1"/>
    <col min="2053" max="2053" width="9.375" style="737" customWidth="1"/>
    <col min="2054" max="2054" width="20.875" style="737" customWidth="1"/>
    <col min="2055" max="2055" width="23.25" style="737" customWidth="1"/>
    <col min="2056" max="2056" width="20.75" style="737" customWidth="1"/>
    <col min="2057" max="2057" width="2.625" style="737" customWidth="1"/>
    <col min="2058" max="2304" width="11" style="737"/>
    <col min="2305" max="2305" width="2.125" style="737" customWidth="1"/>
    <col min="2306" max="2306" width="30.25" style="737" customWidth="1"/>
    <col min="2307" max="2307" width="9.625" style="737" customWidth="1"/>
    <col min="2308" max="2308" width="13" style="737" customWidth="1"/>
    <col min="2309" max="2309" width="9.375" style="737" customWidth="1"/>
    <col min="2310" max="2310" width="20.875" style="737" customWidth="1"/>
    <col min="2311" max="2311" width="23.25" style="737" customWidth="1"/>
    <col min="2312" max="2312" width="20.75" style="737" customWidth="1"/>
    <col min="2313" max="2313" width="2.625" style="737" customWidth="1"/>
    <col min="2314" max="2560" width="11" style="737"/>
    <col min="2561" max="2561" width="2.125" style="737" customWidth="1"/>
    <col min="2562" max="2562" width="30.25" style="737" customWidth="1"/>
    <col min="2563" max="2563" width="9.625" style="737" customWidth="1"/>
    <col min="2564" max="2564" width="13" style="737" customWidth="1"/>
    <col min="2565" max="2565" width="9.375" style="737" customWidth="1"/>
    <col min="2566" max="2566" width="20.875" style="737" customWidth="1"/>
    <col min="2567" max="2567" width="23.25" style="737" customWidth="1"/>
    <col min="2568" max="2568" width="20.75" style="737" customWidth="1"/>
    <col min="2569" max="2569" width="2.625" style="737" customWidth="1"/>
    <col min="2570" max="2816" width="11" style="737"/>
    <col min="2817" max="2817" width="2.125" style="737" customWidth="1"/>
    <col min="2818" max="2818" width="30.25" style="737" customWidth="1"/>
    <col min="2819" max="2819" width="9.625" style="737" customWidth="1"/>
    <col min="2820" max="2820" width="13" style="737" customWidth="1"/>
    <col min="2821" max="2821" width="9.375" style="737" customWidth="1"/>
    <col min="2822" max="2822" width="20.875" style="737" customWidth="1"/>
    <col min="2823" max="2823" width="23.25" style="737" customWidth="1"/>
    <col min="2824" max="2824" width="20.75" style="737" customWidth="1"/>
    <col min="2825" max="2825" width="2.625" style="737" customWidth="1"/>
    <col min="2826" max="3072" width="11" style="737"/>
    <col min="3073" max="3073" width="2.125" style="737" customWidth="1"/>
    <col min="3074" max="3074" width="30.25" style="737" customWidth="1"/>
    <col min="3075" max="3075" width="9.625" style="737" customWidth="1"/>
    <col min="3076" max="3076" width="13" style="737" customWidth="1"/>
    <col min="3077" max="3077" width="9.375" style="737" customWidth="1"/>
    <col min="3078" max="3078" width="20.875" style="737" customWidth="1"/>
    <col min="3079" max="3079" width="23.25" style="737" customWidth="1"/>
    <col min="3080" max="3080" width="20.75" style="737" customWidth="1"/>
    <col min="3081" max="3081" width="2.625" style="737" customWidth="1"/>
    <col min="3082" max="3328" width="11" style="737"/>
    <col min="3329" max="3329" width="2.125" style="737" customWidth="1"/>
    <col min="3330" max="3330" width="30.25" style="737" customWidth="1"/>
    <col min="3331" max="3331" width="9.625" style="737" customWidth="1"/>
    <col min="3332" max="3332" width="13" style="737" customWidth="1"/>
    <col min="3333" max="3333" width="9.375" style="737" customWidth="1"/>
    <col min="3334" max="3334" width="20.875" style="737" customWidth="1"/>
    <col min="3335" max="3335" width="23.25" style="737" customWidth="1"/>
    <col min="3336" max="3336" width="20.75" style="737" customWidth="1"/>
    <col min="3337" max="3337" width="2.625" style="737" customWidth="1"/>
    <col min="3338" max="3584" width="11" style="737"/>
    <col min="3585" max="3585" width="2.125" style="737" customWidth="1"/>
    <col min="3586" max="3586" width="30.25" style="737" customWidth="1"/>
    <col min="3587" max="3587" width="9.625" style="737" customWidth="1"/>
    <col min="3588" max="3588" width="13" style="737" customWidth="1"/>
    <col min="3589" max="3589" width="9.375" style="737" customWidth="1"/>
    <col min="3590" max="3590" width="20.875" style="737" customWidth="1"/>
    <col min="3591" max="3591" width="23.25" style="737" customWidth="1"/>
    <col min="3592" max="3592" width="20.75" style="737" customWidth="1"/>
    <col min="3593" max="3593" width="2.625" style="737" customWidth="1"/>
    <col min="3594" max="3840" width="11" style="737"/>
    <col min="3841" max="3841" width="2.125" style="737" customWidth="1"/>
    <col min="3842" max="3842" width="30.25" style="737" customWidth="1"/>
    <col min="3843" max="3843" width="9.625" style="737" customWidth="1"/>
    <col min="3844" max="3844" width="13" style="737" customWidth="1"/>
    <col min="3845" max="3845" width="9.375" style="737" customWidth="1"/>
    <col min="3846" max="3846" width="20.875" style="737" customWidth="1"/>
    <col min="3847" max="3847" width="23.25" style="737" customWidth="1"/>
    <col min="3848" max="3848" width="20.75" style="737" customWidth="1"/>
    <col min="3849" max="3849" width="2.625" style="737" customWidth="1"/>
    <col min="3850" max="4096" width="11" style="737"/>
    <col min="4097" max="4097" width="2.125" style="737" customWidth="1"/>
    <col min="4098" max="4098" width="30.25" style="737" customWidth="1"/>
    <col min="4099" max="4099" width="9.625" style="737" customWidth="1"/>
    <col min="4100" max="4100" width="13" style="737" customWidth="1"/>
    <col min="4101" max="4101" width="9.375" style="737" customWidth="1"/>
    <col min="4102" max="4102" width="20.875" style="737" customWidth="1"/>
    <col min="4103" max="4103" width="23.25" style="737" customWidth="1"/>
    <col min="4104" max="4104" width="20.75" style="737" customWidth="1"/>
    <col min="4105" max="4105" width="2.625" style="737" customWidth="1"/>
    <col min="4106" max="4352" width="11" style="737"/>
    <col min="4353" max="4353" width="2.125" style="737" customWidth="1"/>
    <col min="4354" max="4354" width="30.25" style="737" customWidth="1"/>
    <col min="4355" max="4355" width="9.625" style="737" customWidth="1"/>
    <col min="4356" max="4356" width="13" style="737" customWidth="1"/>
    <col min="4357" max="4357" width="9.375" style="737" customWidth="1"/>
    <col min="4358" max="4358" width="20.875" style="737" customWidth="1"/>
    <col min="4359" max="4359" width="23.25" style="737" customWidth="1"/>
    <col min="4360" max="4360" width="20.75" style="737" customWidth="1"/>
    <col min="4361" max="4361" width="2.625" style="737" customWidth="1"/>
    <col min="4362" max="4608" width="11" style="737"/>
    <col min="4609" max="4609" width="2.125" style="737" customWidth="1"/>
    <col min="4610" max="4610" width="30.25" style="737" customWidth="1"/>
    <col min="4611" max="4611" width="9.625" style="737" customWidth="1"/>
    <col min="4612" max="4612" width="13" style="737" customWidth="1"/>
    <col min="4613" max="4613" width="9.375" style="737" customWidth="1"/>
    <col min="4614" max="4614" width="20.875" style="737" customWidth="1"/>
    <col min="4615" max="4615" width="23.25" style="737" customWidth="1"/>
    <col min="4616" max="4616" width="20.75" style="737" customWidth="1"/>
    <col min="4617" max="4617" width="2.625" style="737" customWidth="1"/>
    <col min="4618" max="4864" width="11" style="737"/>
    <col min="4865" max="4865" width="2.125" style="737" customWidth="1"/>
    <col min="4866" max="4866" width="30.25" style="737" customWidth="1"/>
    <col min="4867" max="4867" width="9.625" style="737" customWidth="1"/>
    <col min="4868" max="4868" width="13" style="737" customWidth="1"/>
    <col min="4869" max="4869" width="9.375" style="737" customWidth="1"/>
    <col min="4870" max="4870" width="20.875" style="737" customWidth="1"/>
    <col min="4871" max="4871" width="23.25" style="737" customWidth="1"/>
    <col min="4872" max="4872" width="20.75" style="737" customWidth="1"/>
    <col min="4873" max="4873" width="2.625" style="737" customWidth="1"/>
    <col min="4874" max="5120" width="11" style="737"/>
    <col min="5121" max="5121" width="2.125" style="737" customWidth="1"/>
    <col min="5122" max="5122" width="30.25" style="737" customWidth="1"/>
    <col min="5123" max="5123" width="9.625" style="737" customWidth="1"/>
    <col min="5124" max="5124" width="13" style="737" customWidth="1"/>
    <col min="5125" max="5125" width="9.375" style="737" customWidth="1"/>
    <col min="5126" max="5126" width="20.875" style="737" customWidth="1"/>
    <col min="5127" max="5127" width="23.25" style="737" customWidth="1"/>
    <col min="5128" max="5128" width="20.75" style="737" customWidth="1"/>
    <col min="5129" max="5129" width="2.625" style="737" customWidth="1"/>
    <col min="5130" max="5376" width="11" style="737"/>
    <col min="5377" max="5377" width="2.125" style="737" customWidth="1"/>
    <col min="5378" max="5378" width="30.25" style="737" customWidth="1"/>
    <col min="5379" max="5379" width="9.625" style="737" customWidth="1"/>
    <col min="5380" max="5380" width="13" style="737" customWidth="1"/>
    <col min="5381" max="5381" width="9.375" style="737" customWidth="1"/>
    <col min="5382" max="5382" width="20.875" style="737" customWidth="1"/>
    <col min="5383" max="5383" width="23.25" style="737" customWidth="1"/>
    <col min="5384" max="5384" width="20.75" style="737" customWidth="1"/>
    <col min="5385" max="5385" width="2.625" style="737" customWidth="1"/>
    <col min="5386" max="5632" width="11" style="737"/>
    <col min="5633" max="5633" width="2.125" style="737" customWidth="1"/>
    <col min="5634" max="5634" width="30.25" style="737" customWidth="1"/>
    <col min="5635" max="5635" width="9.625" style="737" customWidth="1"/>
    <col min="5636" max="5636" width="13" style="737" customWidth="1"/>
    <col min="5637" max="5637" width="9.375" style="737" customWidth="1"/>
    <col min="5638" max="5638" width="20.875" style="737" customWidth="1"/>
    <col min="5639" max="5639" width="23.25" style="737" customWidth="1"/>
    <col min="5640" max="5640" width="20.75" style="737" customWidth="1"/>
    <col min="5641" max="5641" width="2.625" style="737" customWidth="1"/>
    <col min="5642" max="5888" width="11" style="737"/>
    <col min="5889" max="5889" width="2.125" style="737" customWidth="1"/>
    <col min="5890" max="5890" width="30.25" style="737" customWidth="1"/>
    <col min="5891" max="5891" width="9.625" style="737" customWidth="1"/>
    <col min="5892" max="5892" width="13" style="737" customWidth="1"/>
    <col min="5893" max="5893" width="9.375" style="737" customWidth="1"/>
    <col min="5894" max="5894" width="20.875" style="737" customWidth="1"/>
    <col min="5895" max="5895" width="23.25" style="737" customWidth="1"/>
    <col min="5896" max="5896" width="20.75" style="737" customWidth="1"/>
    <col min="5897" max="5897" width="2.625" style="737" customWidth="1"/>
    <col min="5898" max="6144" width="11" style="737"/>
    <col min="6145" max="6145" width="2.125" style="737" customWidth="1"/>
    <col min="6146" max="6146" width="30.25" style="737" customWidth="1"/>
    <col min="6147" max="6147" width="9.625" style="737" customWidth="1"/>
    <col min="6148" max="6148" width="13" style="737" customWidth="1"/>
    <col min="6149" max="6149" width="9.375" style="737" customWidth="1"/>
    <col min="6150" max="6150" width="20.875" style="737" customWidth="1"/>
    <col min="6151" max="6151" width="23.25" style="737" customWidth="1"/>
    <col min="6152" max="6152" width="20.75" style="737" customWidth="1"/>
    <col min="6153" max="6153" width="2.625" style="737" customWidth="1"/>
    <col min="6154" max="6400" width="11" style="737"/>
    <col min="6401" max="6401" width="2.125" style="737" customWidth="1"/>
    <col min="6402" max="6402" width="30.25" style="737" customWidth="1"/>
    <col min="6403" max="6403" width="9.625" style="737" customWidth="1"/>
    <col min="6404" max="6404" width="13" style="737" customWidth="1"/>
    <col min="6405" max="6405" width="9.375" style="737" customWidth="1"/>
    <col min="6406" max="6406" width="20.875" style="737" customWidth="1"/>
    <col min="6407" max="6407" width="23.25" style="737" customWidth="1"/>
    <col min="6408" max="6408" width="20.75" style="737" customWidth="1"/>
    <col min="6409" max="6409" width="2.625" style="737" customWidth="1"/>
    <col min="6410" max="6656" width="11" style="737"/>
    <col min="6657" max="6657" width="2.125" style="737" customWidth="1"/>
    <col min="6658" max="6658" width="30.25" style="737" customWidth="1"/>
    <col min="6659" max="6659" width="9.625" style="737" customWidth="1"/>
    <col min="6660" max="6660" width="13" style="737" customWidth="1"/>
    <col min="6661" max="6661" width="9.375" style="737" customWidth="1"/>
    <col min="6662" max="6662" width="20.875" style="737" customWidth="1"/>
    <col min="6663" max="6663" width="23.25" style="737" customWidth="1"/>
    <col min="6664" max="6664" width="20.75" style="737" customWidth="1"/>
    <col min="6665" max="6665" width="2.625" style="737" customWidth="1"/>
    <col min="6666" max="6912" width="11" style="737"/>
    <col min="6913" max="6913" width="2.125" style="737" customWidth="1"/>
    <col min="6914" max="6914" width="30.25" style="737" customWidth="1"/>
    <col min="6915" max="6915" width="9.625" style="737" customWidth="1"/>
    <col min="6916" max="6916" width="13" style="737" customWidth="1"/>
    <col min="6917" max="6917" width="9.375" style="737" customWidth="1"/>
    <col min="6918" max="6918" width="20.875" style="737" customWidth="1"/>
    <col min="6919" max="6919" width="23.25" style="737" customWidth="1"/>
    <col min="6920" max="6920" width="20.75" style="737" customWidth="1"/>
    <col min="6921" max="6921" width="2.625" style="737" customWidth="1"/>
    <col min="6922" max="7168" width="11" style="737"/>
    <col min="7169" max="7169" width="2.125" style="737" customWidth="1"/>
    <col min="7170" max="7170" width="30.25" style="737" customWidth="1"/>
    <col min="7171" max="7171" width="9.625" style="737" customWidth="1"/>
    <col min="7172" max="7172" width="13" style="737" customWidth="1"/>
    <col min="7173" max="7173" width="9.375" style="737" customWidth="1"/>
    <col min="7174" max="7174" width="20.875" style="737" customWidth="1"/>
    <col min="7175" max="7175" width="23.25" style="737" customWidth="1"/>
    <col min="7176" max="7176" width="20.75" style="737" customWidth="1"/>
    <col min="7177" max="7177" width="2.625" style="737" customWidth="1"/>
    <col min="7178" max="7424" width="11" style="737"/>
    <col min="7425" max="7425" width="2.125" style="737" customWidth="1"/>
    <col min="7426" max="7426" width="30.25" style="737" customWidth="1"/>
    <col min="7427" max="7427" width="9.625" style="737" customWidth="1"/>
    <col min="7428" max="7428" width="13" style="737" customWidth="1"/>
    <col min="7429" max="7429" width="9.375" style="737" customWidth="1"/>
    <col min="7430" max="7430" width="20.875" style="737" customWidth="1"/>
    <col min="7431" max="7431" width="23.25" style="737" customWidth="1"/>
    <col min="7432" max="7432" width="20.75" style="737" customWidth="1"/>
    <col min="7433" max="7433" width="2.625" style="737" customWidth="1"/>
    <col min="7434" max="7680" width="11" style="737"/>
    <col min="7681" max="7681" width="2.125" style="737" customWidth="1"/>
    <col min="7682" max="7682" width="30.25" style="737" customWidth="1"/>
    <col min="7683" max="7683" width="9.625" style="737" customWidth="1"/>
    <col min="7684" max="7684" width="13" style="737" customWidth="1"/>
    <col min="7685" max="7685" width="9.375" style="737" customWidth="1"/>
    <col min="7686" max="7686" width="20.875" style="737" customWidth="1"/>
    <col min="7687" max="7687" width="23.25" style="737" customWidth="1"/>
    <col min="7688" max="7688" width="20.75" style="737" customWidth="1"/>
    <col min="7689" max="7689" width="2.625" style="737" customWidth="1"/>
    <col min="7690" max="7936" width="11" style="737"/>
    <col min="7937" max="7937" width="2.125" style="737" customWidth="1"/>
    <col min="7938" max="7938" width="30.25" style="737" customWidth="1"/>
    <col min="7939" max="7939" width="9.625" style="737" customWidth="1"/>
    <col min="7940" max="7940" width="13" style="737" customWidth="1"/>
    <col min="7941" max="7941" width="9.375" style="737" customWidth="1"/>
    <col min="7942" max="7942" width="20.875" style="737" customWidth="1"/>
    <col min="7943" max="7943" width="23.25" style="737" customWidth="1"/>
    <col min="7944" max="7944" width="20.75" style="737" customWidth="1"/>
    <col min="7945" max="7945" width="2.625" style="737" customWidth="1"/>
    <col min="7946" max="8192" width="11" style="737"/>
    <col min="8193" max="8193" width="2.125" style="737" customWidth="1"/>
    <col min="8194" max="8194" width="30.25" style="737" customWidth="1"/>
    <col min="8195" max="8195" width="9.625" style="737" customWidth="1"/>
    <col min="8196" max="8196" width="13" style="737" customWidth="1"/>
    <col min="8197" max="8197" width="9.375" style="737" customWidth="1"/>
    <col min="8198" max="8198" width="20.875" style="737" customWidth="1"/>
    <col min="8199" max="8199" width="23.25" style="737" customWidth="1"/>
    <col min="8200" max="8200" width="20.75" style="737" customWidth="1"/>
    <col min="8201" max="8201" width="2.625" style="737" customWidth="1"/>
    <col min="8202" max="8448" width="11" style="737"/>
    <col min="8449" max="8449" width="2.125" style="737" customWidth="1"/>
    <col min="8450" max="8450" width="30.25" style="737" customWidth="1"/>
    <col min="8451" max="8451" width="9.625" style="737" customWidth="1"/>
    <col min="8452" max="8452" width="13" style="737" customWidth="1"/>
    <col min="8453" max="8453" width="9.375" style="737" customWidth="1"/>
    <col min="8454" max="8454" width="20.875" style="737" customWidth="1"/>
    <col min="8455" max="8455" width="23.25" style="737" customWidth="1"/>
    <col min="8456" max="8456" width="20.75" style="737" customWidth="1"/>
    <col min="8457" max="8457" width="2.625" style="737" customWidth="1"/>
    <col min="8458" max="8704" width="11" style="737"/>
    <col min="8705" max="8705" width="2.125" style="737" customWidth="1"/>
    <col min="8706" max="8706" width="30.25" style="737" customWidth="1"/>
    <col min="8707" max="8707" width="9.625" style="737" customWidth="1"/>
    <col min="8708" max="8708" width="13" style="737" customWidth="1"/>
    <col min="8709" max="8709" width="9.375" style="737" customWidth="1"/>
    <col min="8710" max="8710" width="20.875" style="737" customWidth="1"/>
    <col min="8711" max="8711" width="23.25" style="737" customWidth="1"/>
    <col min="8712" max="8712" width="20.75" style="737" customWidth="1"/>
    <col min="8713" max="8713" width="2.625" style="737" customWidth="1"/>
    <col min="8714" max="8960" width="11" style="737"/>
    <col min="8961" max="8961" width="2.125" style="737" customWidth="1"/>
    <col min="8962" max="8962" width="30.25" style="737" customWidth="1"/>
    <col min="8963" max="8963" width="9.625" style="737" customWidth="1"/>
    <col min="8964" max="8964" width="13" style="737" customWidth="1"/>
    <col min="8965" max="8965" width="9.375" style="737" customWidth="1"/>
    <col min="8966" max="8966" width="20.875" style="737" customWidth="1"/>
    <col min="8967" max="8967" width="23.25" style="737" customWidth="1"/>
    <col min="8968" max="8968" width="20.75" style="737" customWidth="1"/>
    <col min="8969" max="8969" width="2.625" style="737" customWidth="1"/>
    <col min="8970" max="9216" width="11" style="737"/>
    <col min="9217" max="9217" width="2.125" style="737" customWidth="1"/>
    <col min="9218" max="9218" width="30.25" style="737" customWidth="1"/>
    <col min="9219" max="9219" width="9.625" style="737" customWidth="1"/>
    <col min="9220" max="9220" width="13" style="737" customWidth="1"/>
    <col min="9221" max="9221" width="9.375" style="737" customWidth="1"/>
    <col min="9222" max="9222" width="20.875" style="737" customWidth="1"/>
    <col min="9223" max="9223" width="23.25" style="737" customWidth="1"/>
    <col min="9224" max="9224" width="20.75" style="737" customWidth="1"/>
    <col min="9225" max="9225" width="2.625" style="737" customWidth="1"/>
    <col min="9226" max="9472" width="11" style="737"/>
    <col min="9473" max="9473" width="2.125" style="737" customWidth="1"/>
    <col min="9474" max="9474" width="30.25" style="737" customWidth="1"/>
    <col min="9475" max="9475" width="9.625" style="737" customWidth="1"/>
    <col min="9476" max="9476" width="13" style="737" customWidth="1"/>
    <col min="9477" max="9477" width="9.375" style="737" customWidth="1"/>
    <col min="9478" max="9478" width="20.875" style="737" customWidth="1"/>
    <col min="9479" max="9479" width="23.25" style="737" customWidth="1"/>
    <col min="9480" max="9480" width="20.75" style="737" customWidth="1"/>
    <col min="9481" max="9481" width="2.625" style="737" customWidth="1"/>
    <col min="9482" max="9728" width="11" style="737"/>
    <col min="9729" max="9729" width="2.125" style="737" customWidth="1"/>
    <col min="9730" max="9730" width="30.25" style="737" customWidth="1"/>
    <col min="9731" max="9731" width="9.625" style="737" customWidth="1"/>
    <col min="9732" max="9732" width="13" style="737" customWidth="1"/>
    <col min="9733" max="9733" width="9.375" style="737" customWidth="1"/>
    <col min="9734" max="9734" width="20.875" style="737" customWidth="1"/>
    <col min="9735" max="9735" width="23.25" style="737" customWidth="1"/>
    <col min="9736" max="9736" width="20.75" style="737" customWidth="1"/>
    <col min="9737" max="9737" width="2.625" style="737" customWidth="1"/>
    <col min="9738" max="9984" width="11" style="737"/>
    <col min="9985" max="9985" width="2.125" style="737" customWidth="1"/>
    <col min="9986" max="9986" width="30.25" style="737" customWidth="1"/>
    <col min="9987" max="9987" width="9.625" style="737" customWidth="1"/>
    <col min="9988" max="9988" width="13" style="737" customWidth="1"/>
    <col min="9989" max="9989" width="9.375" style="737" customWidth="1"/>
    <col min="9990" max="9990" width="20.875" style="737" customWidth="1"/>
    <col min="9991" max="9991" width="23.25" style="737" customWidth="1"/>
    <col min="9992" max="9992" width="20.75" style="737" customWidth="1"/>
    <col min="9993" max="9993" width="2.625" style="737" customWidth="1"/>
    <col min="9994" max="10240" width="11" style="737"/>
    <col min="10241" max="10241" width="2.125" style="737" customWidth="1"/>
    <col min="10242" max="10242" width="30.25" style="737" customWidth="1"/>
    <col min="10243" max="10243" width="9.625" style="737" customWidth="1"/>
    <col min="10244" max="10244" width="13" style="737" customWidth="1"/>
    <col min="10245" max="10245" width="9.375" style="737" customWidth="1"/>
    <col min="10246" max="10246" width="20.875" style="737" customWidth="1"/>
    <col min="10247" max="10247" width="23.25" style="737" customWidth="1"/>
    <col min="10248" max="10248" width="20.75" style="737" customWidth="1"/>
    <col min="10249" max="10249" width="2.625" style="737" customWidth="1"/>
    <col min="10250" max="10496" width="11" style="737"/>
    <col min="10497" max="10497" width="2.125" style="737" customWidth="1"/>
    <col min="10498" max="10498" width="30.25" style="737" customWidth="1"/>
    <col min="10499" max="10499" width="9.625" style="737" customWidth="1"/>
    <col min="10500" max="10500" width="13" style="737" customWidth="1"/>
    <col min="10501" max="10501" width="9.375" style="737" customWidth="1"/>
    <col min="10502" max="10502" width="20.875" style="737" customWidth="1"/>
    <col min="10503" max="10503" width="23.25" style="737" customWidth="1"/>
    <col min="10504" max="10504" width="20.75" style="737" customWidth="1"/>
    <col min="10505" max="10505" width="2.625" style="737" customWidth="1"/>
    <col min="10506" max="10752" width="11" style="737"/>
    <col min="10753" max="10753" width="2.125" style="737" customWidth="1"/>
    <col min="10754" max="10754" width="30.25" style="737" customWidth="1"/>
    <col min="10755" max="10755" width="9.625" style="737" customWidth="1"/>
    <col min="10756" max="10756" width="13" style="737" customWidth="1"/>
    <col min="10757" max="10757" width="9.375" style="737" customWidth="1"/>
    <col min="10758" max="10758" width="20.875" style="737" customWidth="1"/>
    <col min="10759" max="10759" width="23.25" style="737" customWidth="1"/>
    <col min="10760" max="10760" width="20.75" style="737" customWidth="1"/>
    <col min="10761" max="10761" width="2.625" style="737" customWidth="1"/>
    <col min="10762" max="11008" width="11" style="737"/>
    <col min="11009" max="11009" width="2.125" style="737" customWidth="1"/>
    <col min="11010" max="11010" width="30.25" style="737" customWidth="1"/>
    <col min="11011" max="11011" width="9.625" style="737" customWidth="1"/>
    <col min="11012" max="11012" width="13" style="737" customWidth="1"/>
    <col min="11013" max="11013" width="9.375" style="737" customWidth="1"/>
    <col min="11014" max="11014" width="20.875" style="737" customWidth="1"/>
    <col min="11015" max="11015" width="23.25" style="737" customWidth="1"/>
    <col min="11016" max="11016" width="20.75" style="737" customWidth="1"/>
    <col min="11017" max="11017" width="2.625" style="737" customWidth="1"/>
    <col min="11018" max="11264" width="11" style="737"/>
    <col min="11265" max="11265" width="2.125" style="737" customWidth="1"/>
    <col min="11266" max="11266" width="30.25" style="737" customWidth="1"/>
    <col min="11267" max="11267" width="9.625" style="737" customWidth="1"/>
    <col min="11268" max="11268" width="13" style="737" customWidth="1"/>
    <col min="11269" max="11269" width="9.375" style="737" customWidth="1"/>
    <col min="11270" max="11270" width="20.875" style="737" customWidth="1"/>
    <col min="11271" max="11271" width="23.25" style="737" customWidth="1"/>
    <col min="11272" max="11272" width="20.75" style="737" customWidth="1"/>
    <col min="11273" max="11273" width="2.625" style="737" customWidth="1"/>
    <col min="11274" max="11520" width="11" style="737"/>
    <col min="11521" max="11521" width="2.125" style="737" customWidth="1"/>
    <col min="11522" max="11522" width="30.25" style="737" customWidth="1"/>
    <col min="11523" max="11523" width="9.625" style="737" customWidth="1"/>
    <col min="11524" max="11524" width="13" style="737" customWidth="1"/>
    <col min="11525" max="11525" width="9.375" style="737" customWidth="1"/>
    <col min="11526" max="11526" width="20.875" style="737" customWidth="1"/>
    <col min="11527" max="11527" width="23.25" style="737" customWidth="1"/>
    <col min="11528" max="11528" width="20.75" style="737" customWidth="1"/>
    <col min="11529" max="11529" width="2.625" style="737" customWidth="1"/>
    <col min="11530" max="11776" width="11" style="737"/>
    <col min="11777" max="11777" width="2.125" style="737" customWidth="1"/>
    <col min="11778" max="11778" width="30.25" style="737" customWidth="1"/>
    <col min="11779" max="11779" width="9.625" style="737" customWidth="1"/>
    <col min="11780" max="11780" width="13" style="737" customWidth="1"/>
    <col min="11781" max="11781" width="9.375" style="737" customWidth="1"/>
    <col min="11782" max="11782" width="20.875" style="737" customWidth="1"/>
    <col min="11783" max="11783" width="23.25" style="737" customWidth="1"/>
    <col min="11784" max="11784" width="20.75" style="737" customWidth="1"/>
    <col min="11785" max="11785" width="2.625" style="737" customWidth="1"/>
    <col min="11786" max="12032" width="11" style="737"/>
    <col min="12033" max="12033" width="2.125" style="737" customWidth="1"/>
    <col min="12034" max="12034" width="30.25" style="737" customWidth="1"/>
    <col min="12035" max="12035" width="9.625" style="737" customWidth="1"/>
    <col min="12036" max="12036" width="13" style="737" customWidth="1"/>
    <col min="12037" max="12037" width="9.375" style="737" customWidth="1"/>
    <col min="12038" max="12038" width="20.875" style="737" customWidth="1"/>
    <col min="12039" max="12039" width="23.25" style="737" customWidth="1"/>
    <col min="12040" max="12040" width="20.75" style="737" customWidth="1"/>
    <col min="12041" max="12041" width="2.625" style="737" customWidth="1"/>
    <col min="12042" max="12288" width="11" style="737"/>
    <col min="12289" max="12289" width="2.125" style="737" customWidth="1"/>
    <col min="12290" max="12290" width="30.25" style="737" customWidth="1"/>
    <col min="12291" max="12291" width="9.625" style="737" customWidth="1"/>
    <col min="12292" max="12292" width="13" style="737" customWidth="1"/>
    <col min="12293" max="12293" width="9.375" style="737" customWidth="1"/>
    <col min="12294" max="12294" width="20.875" style="737" customWidth="1"/>
    <col min="12295" max="12295" width="23.25" style="737" customWidth="1"/>
    <col min="12296" max="12296" width="20.75" style="737" customWidth="1"/>
    <col min="12297" max="12297" width="2.625" style="737" customWidth="1"/>
    <col min="12298" max="12544" width="11" style="737"/>
    <col min="12545" max="12545" width="2.125" style="737" customWidth="1"/>
    <col min="12546" max="12546" width="30.25" style="737" customWidth="1"/>
    <col min="12547" max="12547" width="9.625" style="737" customWidth="1"/>
    <col min="12548" max="12548" width="13" style="737" customWidth="1"/>
    <col min="12549" max="12549" width="9.375" style="737" customWidth="1"/>
    <col min="12550" max="12550" width="20.875" style="737" customWidth="1"/>
    <col min="12551" max="12551" width="23.25" style="737" customWidth="1"/>
    <col min="12552" max="12552" width="20.75" style="737" customWidth="1"/>
    <col min="12553" max="12553" width="2.625" style="737" customWidth="1"/>
    <col min="12554" max="12800" width="11" style="737"/>
    <col min="12801" max="12801" width="2.125" style="737" customWidth="1"/>
    <col min="12802" max="12802" width="30.25" style="737" customWidth="1"/>
    <col min="12803" max="12803" width="9.625" style="737" customWidth="1"/>
    <col min="12804" max="12804" width="13" style="737" customWidth="1"/>
    <col min="12805" max="12805" width="9.375" style="737" customWidth="1"/>
    <col min="12806" max="12806" width="20.875" style="737" customWidth="1"/>
    <col min="12807" max="12807" width="23.25" style="737" customWidth="1"/>
    <col min="12808" max="12808" width="20.75" style="737" customWidth="1"/>
    <col min="12809" max="12809" width="2.625" style="737" customWidth="1"/>
    <col min="12810" max="13056" width="11" style="737"/>
    <col min="13057" max="13057" width="2.125" style="737" customWidth="1"/>
    <col min="13058" max="13058" width="30.25" style="737" customWidth="1"/>
    <col min="13059" max="13059" width="9.625" style="737" customWidth="1"/>
    <col min="13060" max="13060" width="13" style="737" customWidth="1"/>
    <col min="13061" max="13061" width="9.375" style="737" customWidth="1"/>
    <col min="13062" max="13062" width="20.875" style="737" customWidth="1"/>
    <col min="13063" max="13063" width="23.25" style="737" customWidth="1"/>
    <col min="13064" max="13064" width="20.75" style="737" customWidth="1"/>
    <col min="13065" max="13065" width="2.625" style="737" customWidth="1"/>
    <col min="13066" max="13312" width="11" style="737"/>
    <col min="13313" max="13313" width="2.125" style="737" customWidth="1"/>
    <col min="13314" max="13314" width="30.25" style="737" customWidth="1"/>
    <col min="13315" max="13315" width="9.625" style="737" customWidth="1"/>
    <col min="13316" max="13316" width="13" style="737" customWidth="1"/>
    <col min="13317" max="13317" width="9.375" style="737" customWidth="1"/>
    <col min="13318" max="13318" width="20.875" style="737" customWidth="1"/>
    <col min="13319" max="13319" width="23.25" style="737" customWidth="1"/>
    <col min="13320" max="13320" width="20.75" style="737" customWidth="1"/>
    <col min="13321" max="13321" width="2.625" style="737" customWidth="1"/>
    <col min="13322" max="13568" width="11" style="737"/>
    <col min="13569" max="13569" width="2.125" style="737" customWidth="1"/>
    <col min="13570" max="13570" width="30.25" style="737" customWidth="1"/>
    <col min="13571" max="13571" width="9.625" style="737" customWidth="1"/>
    <col min="13572" max="13572" width="13" style="737" customWidth="1"/>
    <col min="13573" max="13573" width="9.375" style="737" customWidth="1"/>
    <col min="13574" max="13574" width="20.875" style="737" customWidth="1"/>
    <col min="13575" max="13575" width="23.25" style="737" customWidth="1"/>
    <col min="13576" max="13576" width="20.75" style="737" customWidth="1"/>
    <col min="13577" max="13577" width="2.625" style="737" customWidth="1"/>
    <col min="13578" max="13824" width="11" style="737"/>
    <col min="13825" max="13825" width="2.125" style="737" customWidth="1"/>
    <col min="13826" max="13826" width="30.25" style="737" customWidth="1"/>
    <col min="13827" max="13827" width="9.625" style="737" customWidth="1"/>
    <col min="13828" max="13828" width="13" style="737" customWidth="1"/>
    <col min="13829" max="13829" width="9.375" style="737" customWidth="1"/>
    <col min="13830" max="13830" width="20.875" style="737" customWidth="1"/>
    <col min="13831" max="13831" width="23.25" style="737" customWidth="1"/>
    <col min="13832" max="13832" width="20.75" style="737" customWidth="1"/>
    <col min="13833" max="13833" width="2.625" style="737" customWidth="1"/>
    <col min="13834" max="14080" width="11" style="737"/>
    <col min="14081" max="14081" width="2.125" style="737" customWidth="1"/>
    <col min="14082" max="14082" width="30.25" style="737" customWidth="1"/>
    <col min="14083" max="14083" width="9.625" style="737" customWidth="1"/>
    <col min="14084" max="14084" width="13" style="737" customWidth="1"/>
    <col min="14085" max="14085" width="9.375" style="737" customWidth="1"/>
    <col min="14086" max="14086" width="20.875" style="737" customWidth="1"/>
    <col min="14087" max="14087" width="23.25" style="737" customWidth="1"/>
    <col min="14088" max="14088" width="20.75" style="737" customWidth="1"/>
    <col min="14089" max="14089" width="2.625" style="737" customWidth="1"/>
    <col min="14090" max="14336" width="11" style="737"/>
    <col min="14337" max="14337" width="2.125" style="737" customWidth="1"/>
    <col min="14338" max="14338" width="30.25" style="737" customWidth="1"/>
    <col min="14339" max="14339" width="9.625" style="737" customWidth="1"/>
    <col min="14340" max="14340" width="13" style="737" customWidth="1"/>
    <col min="14341" max="14341" width="9.375" style="737" customWidth="1"/>
    <col min="14342" max="14342" width="20.875" style="737" customWidth="1"/>
    <col min="14343" max="14343" width="23.25" style="737" customWidth="1"/>
    <col min="14344" max="14344" width="20.75" style="737" customWidth="1"/>
    <col min="14345" max="14345" width="2.625" style="737" customWidth="1"/>
    <col min="14346" max="14592" width="11" style="737"/>
    <col min="14593" max="14593" width="2.125" style="737" customWidth="1"/>
    <col min="14594" max="14594" width="30.25" style="737" customWidth="1"/>
    <col min="14595" max="14595" width="9.625" style="737" customWidth="1"/>
    <col min="14596" max="14596" width="13" style="737" customWidth="1"/>
    <col min="14597" max="14597" width="9.375" style="737" customWidth="1"/>
    <col min="14598" max="14598" width="20.875" style="737" customWidth="1"/>
    <col min="14599" max="14599" width="23.25" style="737" customWidth="1"/>
    <col min="14600" max="14600" width="20.75" style="737" customWidth="1"/>
    <col min="14601" max="14601" width="2.625" style="737" customWidth="1"/>
    <col min="14602" max="14848" width="11" style="737"/>
    <col min="14849" max="14849" width="2.125" style="737" customWidth="1"/>
    <col min="14850" max="14850" width="30.25" style="737" customWidth="1"/>
    <col min="14851" max="14851" width="9.625" style="737" customWidth="1"/>
    <col min="14852" max="14852" width="13" style="737" customWidth="1"/>
    <col min="14853" max="14853" width="9.375" style="737" customWidth="1"/>
    <col min="14854" max="14854" width="20.875" style="737" customWidth="1"/>
    <col min="14855" max="14855" width="23.25" style="737" customWidth="1"/>
    <col min="14856" max="14856" width="20.75" style="737" customWidth="1"/>
    <col min="14857" max="14857" width="2.625" style="737" customWidth="1"/>
    <col min="14858" max="15104" width="11" style="737"/>
    <col min="15105" max="15105" width="2.125" style="737" customWidth="1"/>
    <col min="15106" max="15106" width="30.25" style="737" customWidth="1"/>
    <col min="15107" max="15107" width="9.625" style="737" customWidth="1"/>
    <col min="15108" max="15108" width="13" style="737" customWidth="1"/>
    <col min="15109" max="15109" width="9.375" style="737" customWidth="1"/>
    <col min="15110" max="15110" width="20.875" style="737" customWidth="1"/>
    <col min="15111" max="15111" width="23.25" style="737" customWidth="1"/>
    <col min="15112" max="15112" width="20.75" style="737" customWidth="1"/>
    <col min="15113" max="15113" width="2.625" style="737" customWidth="1"/>
    <col min="15114" max="15360" width="11" style="737"/>
    <col min="15361" max="15361" width="2.125" style="737" customWidth="1"/>
    <col min="15362" max="15362" width="30.25" style="737" customWidth="1"/>
    <col min="15363" max="15363" width="9.625" style="737" customWidth="1"/>
    <col min="15364" max="15364" width="13" style="737" customWidth="1"/>
    <col min="15365" max="15365" width="9.375" style="737" customWidth="1"/>
    <col min="15366" max="15366" width="20.875" style="737" customWidth="1"/>
    <col min="15367" max="15367" width="23.25" style="737" customWidth="1"/>
    <col min="15368" max="15368" width="20.75" style="737" customWidth="1"/>
    <col min="15369" max="15369" width="2.625" style="737" customWidth="1"/>
    <col min="15370" max="15616" width="11" style="737"/>
    <col min="15617" max="15617" width="2.125" style="737" customWidth="1"/>
    <col min="15618" max="15618" width="30.25" style="737" customWidth="1"/>
    <col min="15619" max="15619" width="9.625" style="737" customWidth="1"/>
    <col min="15620" max="15620" width="13" style="737" customWidth="1"/>
    <col min="15621" max="15621" width="9.375" style="737" customWidth="1"/>
    <col min="15622" max="15622" width="20.875" style="737" customWidth="1"/>
    <col min="15623" max="15623" width="23.25" style="737" customWidth="1"/>
    <col min="15624" max="15624" width="20.75" style="737" customWidth="1"/>
    <col min="15625" max="15625" width="2.625" style="737" customWidth="1"/>
    <col min="15626" max="15872" width="11" style="737"/>
    <col min="15873" max="15873" width="2.125" style="737" customWidth="1"/>
    <col min="15874" max="15874" width="30.25" style="737" customWidth="1"/>
    <col min="15875" max="15875" width="9.625" style="737" customWidth="1"/>
    <col min="15876" max="15876" width="13" style="737" customWidth="1"/>
    <col min="15877" max="15877" width="9.375" style="737" customWidth="1"/>
    <col min="15878" max="15878" width="20.875" style="737" customWidth="1"/>
    <col min="15879" max="15879" width="23.25" style="737" customWidth="1"/>
    <col min="15880" max="15880" width="20.75" style="737" customWidth="1"/>
    <col min="15881" max="15881" width="2.625" style="737" customWidth="1"/>
    <col min="15882" max="16128" width="11" style="737"/>
    <col min="16129" max="16129" width="2.125" style="737" customWidth="1"/>
    <col min="16130" max="16130" width="30.25" style="737" customWidth="1"/>
    <col min="16131" max="16131" width="9.625" style="737" customWidth="1"/>
    <col min="16132" max="16132" width="13" style="737" customWidth="1"/>
    <col min="16133" max="16133" width="9.375" style="737" customWidth="1"/>
    <col min="16134" max="16134" width="20.875" style="737" customWidth="1"/>
    <col min="16135" max="16135" width="23.25" style="737" customWidth="1"/>
    <col min="16136" max="16136" width="20.75" style="737" customWidth="1"/>
    <col min="16137" max="16137" width="2.625" style="737" customWidth="1"/>
    <col min="16138" max="16384" width="11" style="737"/>
  </cols>
  <sheetData>
    <row r="1" spans="1:19" s="747" customFormat="1" ht="10.5" customHeight="1" x14ac:dyDescent="0.25">
      <c r="A1" s="845"/>
      <c r="I1" s="845"/>
      <c r="J1" s="845"/>
      <c r="K1" s="845"/>
      <c r="L1" s="845"/>
      <c r="M1" s="845"/>
      <c r="N1" s="845"/>
      <c r="O1" s="845"/>
      <c r="P1" s="845"/>
      <c r="Q1" s="845"/>
      <c r="R1" s="845"/>
      <c r="S1" s="845"/>
    </row>
    <row r="2" spans="1:19" s="750" customFormat="1" ht="18.75" x14ac:dyDescent="0.25">
      <c r="A2" s="846"/>
      <c r="B2" s="817"/>
      <c r="C2" s="818"/>
      <c r="D2" s="819"/>
      <c r="E2" s="820"/>
      <c r="F2" s="821"/>
      <c r="G2" s="748" t="s">
        <v>908</v>
      </c>
      <c r="H2" s="749"/>
      <c r="I2" s="846"/>
      <c r="J2" s="846"/>
      <c r="K2" s="846"/>
      <c r="L2" s="846"/>
      <c r="M2" s="846"/>
      <c r="N2" s="846"/>
      <c r="O2" s="846"/>
      <c r="P2" s="846"/>
      <c r="Q2" s="846"/>
      <c r="R2" s="846"/>
      <c r="S2" s="846"/>
    </row>
    <row r="3" spans="1:19" s="750" customFormat="1" ht="11.25" customHeight="1" x14ac:dyDescent="0.25">
      <c r="A3" s="846"/>
      <c r="B3" s="822" t="s">
        <v>312</v>
      </c>
      <c r="C3" s="823" t="s">
        <v>313</v>
      </c>
      <c r="D3" s="823" t="s">
        <v>314</v>
      </c>
      <c r="E3" s="824"/>
      <c r="F3" s="825" t="s">
        <v>315</v>
      </c>
      <c r="G3" s="827" t="s">
        <v>316</v>
      </c>
      <c r="H3" s="828"/>
      <c r="I3" s="846"/>
      <c r="J3" s="846"/>
      <c r="K3" s="846"/>
      <c r="L3" s="846"/>
      <c r="M3" s="846"/>
      <c r="N3" s="846"/>
      <c r="O3" s="846"/>
      <c r="P3" s="846"/>
      <c r="Q3" s="846"/>
      <c r="R3" s="846"/>
      <c r="S3" s="846"/>
    </row>
    <row r="4" spans="1:19" s="750" customFormat="1" ht="9.75" customHeight="1" x14ac:dyDescent="0.25">
      <c r="A4" s="846"/>
      <c r="B4" s="822" t="s">
        <v>317</v>
      </c>
      <c r="C4" s="826"/>
      <c r="D4" s="825" t="s">
        <v>318</v>
      </c>
      <c r="E4" s="823"/>
      <c r="F4" s="823"/>
      <c r="G4" s="825" t="s">
        <v>319</v>
      </c>
      <c r="H4" s="829"/>
      <c r="I4" s="846"/>
      <c r="J4" s="846"/>
      <c r="K4" s="846"/>
      <c r="L4" s="846"/>
      <c r="M4" s="846"/>
      <c r="N4" s="846"/>
      <c r="O4" s="846"/>
      <c r="P4" s="846"/>
      <c r="Q4" s="846"/>
      <c r="R4" s="846"/>
      <c r="S4" s="846"/>
    </row>
    <row r="5" spans="1:19" s="750" customFormat="1" ht="16.5" customHeight="1" x14ac:dyDescent="0.25">
      <c r="A5" s="846"/>
      <c r="B5" s="831" t="s">
        <v>320</v>
      </c>
      <c r="C5" s="742" t="s">
        <v>904</v>
      </c>
      <c r="D5" s="1708" t="s">
        <v>899</v>
      </c>
      <c r="E5" s="1708"/>
      <c r="F5" s="1708"/>
      <c r="G5" s="1708"/>
      <c r="H5" s="830" t="s">
        <v>321</v>
      </c>
      <c r="I5" s="846"/>
      <c r="J5" s="846"/>
      <c r="K5" s="849" t="s">
        <v>785</v>
      </c>
      <c r="L5" s="846"/>
      <c r="M5" s="846"/>
      <c r="N5" s="846"/>
      <c r="O5" s="846"/>
      <c r="P5" s="846"/>
      <c r="Q5" s="846"/>
      <c r="R5" s="846"/>
      <c r="S5" s="846"/>
    </row>
    <row r="6" spans="1:19" s="750" customFormat="1" ht="18.75" x14ac:dyDescent="0.25">
      <c r="A6" s="846"/>
      <c r="B6" s="832" t="s">
        <v>322</v>
      </c>
      <c r="C6" s="834" t="s">
        <v>323</v>
      </c>
      <c r="D6" s="835"/>
      <c r="E6" s="835"/>
      <c r="F6" s="835"/>
      <c r="G6" s="835"/>
      <c r="H6" s="836" t="s">
        <v>324</v>
      </c>
      <c r="I6" s="846"/>
      <c r="J6" s="846"/>
      <c r="K6" s="846"/>
      <c r="L6" s="846"/>
      <c r="M6" s="846"/>
      <c r="N6" s="846"/>
      <c r="O6" s="846"/>
      <c r="P6" s="846"/>
      <c r="Q6" s="846"/>
      <c r="R6" s="846"/>
      <c r="S6" s="846"/>
    </row>
    <row r="7" spans="1:19" s="750" customFormat="1" ht="15.75" x14ac:dyDescent="0.25">
      <c r="A7" s="846"/>
      <c r="B7" s="833" t="s">
        <v>325</v>
      </c>
      <c r="C7" s="837"/>
      <c r="D7" s="837"/>
      <c r="E7" s="837"/>
      <c r="F7" s="838"/>
      <c r="G7" s="839" t="str">
        <f ca="1">MID(CELL("filename",G7),FIND("[",CELL("filename",G7)),300)</f>
        <v>[so-gestion.des.absences.xlsx]Temps Travail</v>
      </c>
      <c r="H7" s="840"/>
      <c r="I7" s="846"/>
      <c r="J7" s="743" t="s">
        <v>904</v>
      </c>
      <c r="K7" s="850" t="s">
        <v>786</v>
      </c>
      <c r="L7" s="846"/>
      <c r="M7" s="846"/>
      <c r="N7" s="846"/>
      <c r="O7" s="846"/>
      <c r="P7" s="846"/>
      <c r="Q7" s="846"/>
      <c r="R7" s="846"/>
      <c r="S7" s="846"/>
    </row>
    <row r="8" spans="1:19" s="747" customFormat="1" x14ac:dyDescent="0.25">
      <c r="A8" s="845"/>
      <c r="B8" s="841" t="str">
        <f ca="1">CELL("nomfichier")</f>
        <v>E:\UPRT a faire\so-plannings.copie\[calendrier.Pascal.Grandet.xlsx]Calendrier.Pascal.Grandet</v>
      </c>
      <c r="C8" s="847"/>
      <c r="D8" s="847"/>
      <c r="E8" s="847"/>
      <c r="F8" s="847"/>
      <c r="G8" s="847"/>
      <c r="H8" s="847"/>
      <c r="I8" s="845"/>
      <c r="J8" s="845"/>
      <c r="K8" s="845"/>
      <c r="L8" s="845"/>
      <c r="M8" s="845"/>
      <c r="N8" s="845"/>
      <c r="O8" s="845"/>
      <c r="P8" s="845"/>
      <c r="Q8" s="845"/>
      <c r="R8" s="845"/>
      <c r="S8" s="845"/>
    </row>
    <row r="9" spans="1:19" ht="9" customHeight="1" x14ac:dyDescent="0.2">
      <c r="A9" s="843"/>
      <c r="B9" s="842" t="s">
        <v>326</v>
      </c>
      <c r="C9" s="1715">
        <f ca="1">NOW()</f>
        <v>44232.80612465278</v>
      </c>
      <c r="D9" s="1715"/>
      <c r="E9" s="1715"/>
      <c r="F9" s="848"/>
      <c r="G9" s="848"/>
      <c r="H9" s="848"/>
      <c r="I9" s="843"/>
      <c r="J9" s="843"/>
      <c r="K9" s="843"/>
      <c r="L9" s="843"/>
      <c r="M9" s="843"/>
      <c r="N9" s="843"/>
      <c r="O9" s="843"/>
      <c r="P9" s="843"/>
      <c r="Q9" s="843"/>
      <c r="R9" s="843"/>
      <c r="S9" s="843"/>
    </row>
    <row r="10" spans="1:19" ht="17.25" customHeight="1" x14ac:dyDescent="0.2">
      <c r="A10" s="843"/>
      <c r="B10" s="853"/>
      <c r="C10" s="854"/>
      <c r="D10" s="855" t="s">
        <v>897</v>
      </c>
      <c r="E10" s="1716" t="s">
        <v>898</v>
      </c>
      <c r="F10" s="1716"/>
      <c r="G10" s="1716"/>
      <c r="H10" s="1717"/>
      <c r="I10" s="843"/>
      <c r="J10" s="843"/>
      <c r="K10" s="1707" t="s">
        <v>905</v>
      </c>
      <c r="L10" s="1707"/>
      <c r="M10" s="1707"/>
      <c r="N10" s="1707"/>
      <c r="O10" s="1707"/>
      <c r="P10" s="1707"/>
      <c r="Q10" s="843"/>
      <c r="R10" s="843"/>
      <c r="S10" s="843"/>
    </row>
    <row r="11" spans="1:19" ht="14.25" customHeight="1" x14ac:dyDescent="0.2">
      <c r="A11" s="843"/>
      <c r="B11" s="856" t="s">
        <v>327</v>
      </c>
      <c r="C11" s="857"/>
      <c r="D11" s="751" t="s">
        <v>328</v>
      </c>
      <c r="E11" s="752"/>
      <c r="F11" s="753" t="s">
        <v>329</v>
      </c>
      <c r="G11" s="858"/>
      <c r="H11" s="859"/>
      <c r="I11" s="843"/>
      <c r="J11" s="843"/>
      <c r="K11" s="1707"/>
      <c r="L11" s="1707"/>
      <c r="M11" s="1707"/>
      <c r="N11" s="1707"/>
      <c r="O11" s="1707"/>
      <c r="P11" s="1707"/>
      <c r="Q11" s="843"/>
      <c r="R11" s="843"/>
      <c r="S11" s="843"/>
    </row>
    <row r="12" spans="1:19" ht="14.25" customHeight="1" x14ac:dyDescent="0.25">
      <c r="A12" s="843"/>
      <c r="B12" s="860">
        <v>0.29166666666666669</v>
      </c>
      <c r="C12" s="861"/>
      <c r="D12" s="754"/>
      <c r="E12" s="755"/>
      <c r="F12" s="862">
        <v>20</v>
      </c>
      <c r="G12" s="862" t="s">
        <v>331</v>
      </c>
      <c r="H12" s="863" t="s">
        <v>330</v>
      </c>
      <c r="I12" s="843"/>
      <c r="J12" s="843"/>
      <c r="K12" s="843"/>
      <c r="L12" s="843"/>
      <c r="M12" s="843"/>
      <c r="N12" s="843"/>
      <c r="O12" s="843"/>
      <c r="P12" s="843"/>
      <c r="Q12" s="843"/>
      <c r="R12" s="843"/>
      <c r="S12" s="843"/>
    </row>
    <row r="13" spans="1:19" ht="14.25" customHeight="1" x14ac:dyDescent="0.2">
      <c r="A13" s="843"/>
      <c r="B13" s="864">
        <v>1</v>
      </c>
      <c r="C13" s="865"/>
      <c r="D13" s="756"/>
      <c r="E13" s="757"/>
      <c r="F13" s="758" t="s">
        <v>332</v>
      </c>
      <c r="G13" s="758" t="s">
        <v>332</v>
      </c>
      <c r="H13" s="866" t="s">
        <v>332</v>
      </c>
      <c r="I13" s="843"/>
      <c r="J13" s="843"/>
      <c r="K13" s="843"/>
      <c r="L13" s="843"/>
      <c r="M13" s="843"/>
      <c r="N13" s="843"/>
      <c r="O13" s="843"/>
      <c r="P13" s="843"/>
      <c r="Q13" s="843"/>
      <c r="R13" s="843"/>
      <c r="S13" s="843"/>
    </row>
    <row r="14" spans="1:19" ht="15" customHeight="1" x14ac:dyDescent="0.2">
      <c r="A14" s="843"/>
      <c r="B14" s="867" t="s">
        <v>333</v>
      </c>
      <c r="C14" s="857"/>
      <c r="D14" s="759">
        <v>365</v>
      </c>
      <c r="E14" s="760">
        <v>365</v>
      </c>
      <c r="F14" s="761">
        <v>365</v>
      </c>
      <c r="G14" s="868">
        <v>365</v>
      </c>
      <c r="H14" s="869">
        <v>365</v>
      </c>
      <c r="I14" s="843"/>
      <c r="J14" s="843"/>
      <c r="K14" s="843"/>
      <c r="L14" s="843"/>
      <c r="M14" s="843"/>
      <c r="N14" s="843"/>
      <c r="O14" s="843"/>
      <c r="P14" s="843"/>
      <c r="Q14" s="843"/>
      <c r="R14" s="843"/>
      <c r="S14" s="843"/>
    </row>
    <row r="15" spans="1:19" ht="15" customHeight="1" x14ac:dyDescent="0.2">
      <c r="A15" s="843"/>
      <c r="B15" s="867" t="s">
        <v>334</v>
      </c>
      <c r="C15" s="857"/>
      <c r="D15" s="762">
        <v>104</v>
      </c>
      <c r="E15" s="763">
        <v>104</v>
      </c>
      <c r="F15" s="764">
        <v>104</v>
      </c>
      <c r="G15" s="870">
        <v>104</v>
      </c>
      <c r="H15" s="871">
        <v>104</v>
      </c>
      <c r="I15" s="843"/>
      <c r="J15" s="843"/>
      <c r="K15" s="843"/>
      <c r="L15" s="843"/>
      <c r="M15" s="843"/>
      <c r="N15" s="843"/>
      <c r="O15" s="843"/>
      <c r="P15" s="843"/>
      <c r="Q15" s="843"/>
      <c r="R15" s="843"/>
      <c r="S15" s="843"/>
    </row>
    <row r="16" spans="1:19" ht="15" customHeight="1" x14ac:dyDescent="0.2">
      <c r="A16" s="843"/>
      <c r="B16" s="872" t="s">
        <v>335</v>
      </c>
      <c r="C16" s="857"/>
      <c r="D16" s="765">
        <v>28</v>
      </c>
      <c r="E16" s="766">
        <v>25</v>
      </c>
      <c r="F16" s="767">
        <v>25</v>
      </c>
      <c r="G16" s="873">
        <v>25</v>
      </c>
      <c r="H16" s="874">
        <v>25</v>
      </c>
      <c r="I16" s="843"/>
      <c r="J16" s="843"/>
      <c r="K16" s="843"/>
      <c r="L16" s="843"/>
      <c r="M16" s="843"/>
      <c r="N16" s="843"/>
      <c r="O16" s="843"/>
      <c r="P16" s="843"/>
      <c r="Q16" s="843"/>
      <c r="R16" s="843"/>
      <c r="S16" s="843"/>
    </row>
    <row r="17" spans="1:19" ht="15" customHeight="1" x14ac:dyDescent="0.25">
      <c r="A17" s="843"/>
      <c r="B17" s="872" t="s">
        <v>336</v>
      </c>
      <c r="C17" s="857"/>
      <c r="D17" s="765">
        <v>2</v>
      </c>
      <c r="E17" s="766">
        <v>2</v>
      </c>
      <c r="F17" s="767">
        <v>2</v>
      </c>
      <c r="G17" s="873">
        <v>2</v>
      </c>
      <c r="H17" s="874">
        <v>2</v>
      </c>
      <c r="I17" s="843"/>
      <c r="J17" s="743" t="s">
        <v>904</v>
      </c>
      <c r="K17" s="851" t="s">
        <v>901</v>
      </c>
      <c r="L17" s="843"/>
      <c r="M17" s="843"/>
      <c r="N17" s="843"/>
      <c r="O17" s="843"/>
      <c r="P17" s="843"/>
      <c r="Q17" s="843"/>
      <c r="R17" s="843"/>
      <c r="S17" s="843"/>
    </row>
    <row r="18" spans="1:19" ht="15" customHeight="1" x14ac:dyDescent="0.2">
      <c r="A18" s="843"/>
      <c r="B18" s="872" t="s">
        <v>337</v>
      </c>
      <c r="C18" s="857"/>
      <c r="D18" s="765">
        <v>1</v>
      </c>
      <c r="E18" s="766">
        <v>1</v>
      </c>
      <c r="F18" s="767">
        <v>1</v>
      </c>
      <c r="G18" s="873">
        <v>1</v>
      </c>
      <c r="H18" s="874">
        <v>1</v>
      </c>
      <c r="I18" s="843"/>
      <c r="J18" s="843"/>
      <c r="K18" s="852" t="s">
        <v>900</v>
      </c>
      <c r="L18" s="843"/>
      <c r="M18" s="843"/>
      <c r="N18" s="843"/>
      <c r="O18" s="843"/>
      <c r="P18" s="843"/>
      <c r="Q18" s="843"/>
      <c r="R18" s="843"/>
      <c r="S18" s="843"/>
    </row>
    <row r="19" spans="1:19" ht="15" customHeight="1" x14ac:dyDescent="0.2">
      <c r="A19" s="843"/>
      <c r="B19" s="872" t="s">
        <v>338</v>
      </c>
      <c r="C19" s="857"/>
      <c r="D19" s="765"/>
      <c r="E19" s="766"/>
      <c r="F19" s="767">
        <v>2</v>
      </c>
      <c r="G19" s="873">
        <v>1</v>
      </c>
      <c r="H19" s="874"/>
      <c r="I19" s="843"/>
      <c r="J19" s="843"/>
      <c r="K19" s="843"/>
      <c r="L19" s="843"/>
      <c r="M19" s="843"/>
      <c r="N19" s="843"/>
      <c r="O19" s="843"/>
      <c r="P19" s="843"/>
      <c r="Q19" s="843"/>
      <c r="R19" s="843"/>
      <c r="S19" s="843"/>
    </row>
    <row r="20" spans="1:19" ht="15" customHeight="1" x14ac:dyDescent="0.2">
      <c r="A20" s="843"/>
      <c r="B20" s="872" t="s">
        <v>339</v>
      </c>
      <c r="C20" s="857"/>
      <c r="D20" s="765">
        <v>9</v>
      </c>
      <c r="E20" s="766">
        <v>9</v>
      </c>
      <c r="F20" s="767">
        <v>11</v>
      </c>
      <c r="G20" s="873">
        <v>11</v>
      </c>
      <c r="H20" s="874">
        <v>11</v>
      </c>
      <c r="I20" s="843"/>
      <c r="J20" s="843"/>
      <c r="K20" s="843"/>
      <c r="L20" s="843"/>
      <c r="M20" s="843"/>
      <c r="N20" s="843"/>
      <c r="O20" s="843"/>
      <c r="P20" s="843"/>
      <c r="Q20" s="843"/>
      <c r="R20" s="843"/>
      <c r="S20" s="843"/>
    </row>
    <row r="21" spans="1:19" ht="15" customHeight="1" x14ac:dyDescent="0.2">
      <c r="A21" s="843"/>
      <c r="B21" s="875" t="s">
        <v>340</v>
      </c>
      <c r="C21" s="857"/>
      <c r="D21" s="768">
        <f>SUM(D15:D20)</f>
        <v>144</v>
      </c>
      <c r="E21" s="769">
        <f>SUM(E15:E20)</f>
        <v>141</v>
      </c>
      <c r="F21" s="770">
        <f>SUM(F15:F20)</f>
        <v>145</v>
      </c>
      <c r="G21" s="876">
        <f>SUM(G15:G20)</f>
        <v>144</v>
      </c>
      <c r="H21" s="877">
        <f>SUM(H15:H20)</f>
        <v>143</v>
      </c>
      <c r="I21" s="843"/>
      <c r="J21" s="843"/>
      <c r="K21" s="843"/>
      <c r="L21" s="843"/>
      <c r="M21" s="843"/>
      <c r="N21" s="843"/>
      <c r="O21" s="843"/>
      <c r="P21" s="843"/>
      <c r="Q21" s="843"/>
      <c r="R21" s="843"/>
      <c r="S21" s="843"/>
    </row>
    <row r="22" spans="1:19" ht="15" customHeight="1" x14ac:dyDescent="0.2">
      <c r="A22" s="843"/>
      <c r="B22" s="878" t="s">
        <v>341</v>
      </c>
      <c r="C22" s="857"/>
      <c r="D22" s="771">
        <v>1</v>
      </c>
      <c r="E22" s="772">
        <v>1</v>
      </c>
      <c r="F22" s="773">
        <v>1</v>
      </c>
      <c r="G22" s="879">
        <v>1</v>
      </c>
      <c r="H22" s="880">
        <v>1</v>
      </c>
      <c r="I22" s="843"/>
      <c r="J22" s="843"/>
      <c r="K22" s="843"/>
      <c r="L22" s="843"/>
      <c r="M22" s="843"/>
      <c r="N22" s="843"/>
      <c r="O22" s="843"/>
      <c r="P22" s="843"/>
      <c r="Q22" s="843"/>
      <c r="R22" s="843"/>
      <c r="S22" s="843"/>
    </row>
    <row r="23" spans="1:19" ht="15" customHeight="1" x14ac:dyDescent="0.2">
      <c r="A23" s="843"/>
      <c r="B23" s="875" t="s">
        <v>342</v>
      </c>
      <c r="C23" s="857"/>
      <c r="D23" s="768">
        <f>(D14-D21)+D22</f>
        <v>222</v>
      </c>
      <c r="E23" s="769">
        <f>(E14-E21)+E22</f>
        <v>225</v>
      </c>
      <c r="F23" s="770">
        <f>(F14-F21)+F22</f>
        <v>221</v>
      </c>
      <c r="G23" s="876">
        <f>(G14-G21)+G22</f>
        <v>222</v>
      </c>
      <c r="H23" s="877">
        <f>(H14-H21)+H22</f>
        <v>223</v>
      </c>
      <c r="I23" s="843"/>
      <c r="J23" s="843"/>
      <c r="K23" s="843"/>
      <c r="L23" s="843"/>
      <c r="M23" s="843"/>
      <c r="N23" s="843"/>
      <c r="O23" s="843"/>
      <c r="P23" s="843"/>
      <c r="Q23" s="843"/>
      <c r="R23" s="843"/>
      <c r="S23" s="843"/>
    </row>
    <row r="24" spans="1:19" ht="15" customHeight="1" x14ac:dyDescent="0.2">
      <c r="A24" s="843"/>
      <c r="B24" s="875"/>
      <c r="C24" s="857"/>
      <c r="D24" s="774">
        <f>$B$12*D23</f>
        <v>64.75</v>
      </c>
      <c r="E24" s="775">
        <f>$B$12*E23</f>
        <v>65.625</v>
      </c>
      <c r="F24" s="776">
        <f>$B$12*F23</f>
        <v>64.458333333333343</v>
      </c>
      <c r="G24" s="881">
        <f>$B$12*G23</f>
        <v>64.75</v>
      </c>
      <c r="H24" s="882">
        <f>$B$12*H23</f>
        <v>65.041666666666671</v>
      </c>
      <c r="I24" s="843"/>
      <c r="J24" s="843"/>
      <c r="K24" s="843"/>
      <c r="L24" s="843"/>
      <c r="M24" s="843"/>
      <c r="N24" s="843"/>
      <c r="O24" s="843"/>
      <c r="P24" s="843"/>
      <c r="Q24" s="843"/>
      <c r="R24" s="843"/>
      <c r="S24" s="843"/>
    </row>
    <row r="25" spans="1:19" ht="15" customHeight="1" x14ac:dyDescent="0.2">
      <c r="A25" s="843"/>
      <c r="B25" s="883" t="s">
        <v>906</v>
      </c>
      <c r="C25" s="884"/>
      <c r="D25" s="777">
        <v>0</v>
      </c>
      <c r="E25" s="778">
        <v>0</v>
      </c>
      <c r="F25" s="779">
        <v>0</v>
      </c>
      <c r="G25" s="885">
        <v>0</v>
      </c>
      <c r="H25" s="886">
        <v>0</v>
      </c>
      <c r="I25" s="843"/>
      <c r="J25" s="843"/>
      <c r="K25" s="843"/>
      <c r="L25" s="843"/>
      <c r="M25" s="843"/>
      <c r="N25" s="843"/>
      <c r="O25" s="843"/>
      <c r="P25" s="843"/>
      <c r="Q25" s="843"/>
      <c r="R25" s="843"/>
      <c r="S25" s="843"/>
    </row>
    <row r="26" spans="1:19" ht="15" customHeight="1" x14ac:dyDescent="0.2">
      <c r="A26" s="843"/>
      <c r="B26" s="883" t="s">
        <v>907</v>
      </c>
      <c r="C26" s="884"/>
      <c r="D26" s="780">
        <v>0</v>
      </c>
      <c r="E26" s="781">
        <v>0</v>
      </c>
      <c r="F26" s="782">
        <v>0</v>
      </c>
      <c r="G26" s="887">
        <v>0</v>
      </c>
      <c r="H26" s="888">
        <v>0</v>
      </c>
      <c r="I26" s="843"/>
      <c r="J26" s="843"/>
      <c r="K26" s="843"/>
      <c r="L26" s="843"/>
      <c r="M26" s="843"/>
      <c r="N26" s="843"/>
      <c r="O26" s="843"/>
      <c r="P26" s="843"/>
      <c r="Q26" s="843"/>
      <c r="R26" s="843"/>
      <c r="S26" s="843"/>
    </row>
    <row r="27" spans="1:19" ht="26.25" customHeight="1" x14ac:dyDescent="0.2">
      <c r="A27" s="843"/>
      <c r="B27" s="875" t="s">
        <v>909</v>
      </c>
      <c r="C27" s="857"/>
      <c r="D27" s="783">
        <f>IF(D25&gt;0,D24-D25,IF(D26&gt;0,D24+D26,D24))</f>
        <v>64.75</v>
      </c>
      <c r="E27" s="784">
        <f>IF(E25&gt;0,E24-E25,IF(E26&gt;0,E24+E26,E24))</f>
        <v>65.625</v>
      </c>
      <c r="F27" s="785">
        <f>IF(F25&gt;0,F24-F25,IF(F26&gt;0,F24+F26,F24))</f>
        <v>64.458333333333343</v>
      </c>
      <c r="G27" s="889">
        <f>IF(G25&gt;0,G24-G25,IF(G26&gt;0,G24+G26,G24))</f>
        <v>64.75</v>
      </c>
      <c r="H27" s="890">
        <f>IF(H25&gt;0,H24-H25,IF(H26&gt;0,H24+H26,H24))</f>
        <v>65.041666666666671</v>
      </c>
      <c r="I27" s="843"/>
      <c r="J27" s="843"/>
      <c r="K27" s="843"/>
      <c r="L27" s="843"/>
      <c r="M27" s="843"/>
      <c r="N27" s="843"/>
      <c r="O27" s="843"/>
      <c r="P27" s="843"/>
      <c r="Q27" s="843"/>
      <c r="R27" s="843"/>
      <c r="S27" s="843"/>
    </row>
    <row r="28" spans="1:19" ht="17.25" customHeight="1" x14ac:dyDescent="0.2">
      <c r="A28" s="843"/>
      <c r="B28" s="891" t="s">
        <v>343</v>
      </c>
      <c r="C28" s="857"/>
      <c r="D28" s="786">
        <v>23</v>
      </c>
      <c r="E28" s="787">
        <v>18</v>
      </c>
      <c r="F28" s="788">
        <v>18</v>
      </c>
      <c r="G28" s="892">
        <v>18</v>
      </c>
      <c r="H28" s="893">
        <v>18</v>
      </c>
      <c r="I28" s="843"/>
      <c r="J28" s="843"/>
      <c r="K28" s="843"/>
      <c r="L28" s="843"/>
      <c r="M28" s="843"/>
      <c r="N28" s="843"/>
      <c r="O28" s="843"/>
      <c r="P28" s="843"/>
      <c r="Q28" s="843"/>
      <c r="R28" s="843"/>
      <c r="S28" s="843"/>
    </row>
    <row r="29" spans="1:19" ht="16.5" customHeight="1" x14ac:dyDescent="0.2">
      <c r="A29" s="843"/>
      <c r="B29" s="875" t="s">
        <v>344</v>
      </c>
      <c r="C29" s="857"/>
      <c r="D29" s="783">
        <f>$B$12*D28</f>
        <v>6.7083333333333339</v>
      </c>
      <c r="E29" s="784">
        <f>$B$12*E28</f>
        <v>5.25</v>
      </c>
      <c r="F29" s="785">
        <f>$B$12*F28</f>
        <v>5.25</v>
      </c>
      <c r="G29" s="889">
        <f>$B$12*G28</f>
        <v>5.25</v>
      </c>
      <c r="H29" s="890">
        <f>$B$12*H28</f>
        <v>5.25</v>
      </c>
      <c r="I29" s="843"/>
      <c r="J29" s="843"/>
      <c r="K29" s="843"/>
      <c r="L29" s="843"/>
      <c r="M29" s="843"/>
      <c r="N29" s="843"/>
      <c r="O29" s="843"/>
      <c r="P29" s="843"/>
      <c r="Q29" s="843"/>
      <c r="R29" s="843"/>
      <c r="S29" s="843"/>
    </row>
    <row r="30" spans="1:19" ht="17.25" customHeight="1" x14ac:dyDescent="0.2">
      <c r="A30" s="843"/>
      <c r="B30" s="875" t="s">
        <v>345</v>
      </c>
      <c r="C30" s="857"/>
      <c r="D30" s="789">
        <f>D23-D28</f>
        <v>199</v>
      </c>
      <c r="E30" s="790">
        <f>E23-E28</f>
        <v>207</v>
      </c>
      <c r="F30" s="791">
        <f>F23-F28</f>
        <v>203</v>
      </c>
      <c r="G30" s="894">
        <f>G23-G28</f>
        <v>204</v>
      </c>
      <c r="H30" s="895">
        <f>H23-H28</f>
        <v>205</v>
      </c>
      <c r="I30" s="843"/>
      <c r="J30" s="843"/>
      <c r="K30" s="843"/>
      <c r="L30" s="843"/>
      <c r="M30" s="843"/>
      <c r="N30" s="843"/>
      <c r="O30" s="843"/>
      <c r="P30" s="843"/>
      <c r="Q30" s="843"/>
      <c r="R30" s="843"/>
      <c r="S30" s="843"/>
    </row>
    <row r="31" spans="1:19" ht="19.5" customHeight="1" x14ac:dyDescent="0.2">
      <c r="A31" s="843"/>
      <c r="B31" s="856" t="s">
        <v>346</v>
      </c>
      <c r="C31" s="896"/>
      <c r="D31" s="792">
        <f>D27/D30</f>
        <v>0.32537688442211055</v>
      </c>
      <c r="E31" s="793">
        <f>E27/E30</f>
        <v>0.3170289855072464</v>
      </c>
      <c r="F31" s="794">
        <f>F27/F30</f>
        <v>0.31752873563218398</v>
      </c>
      <c r="G31" s="897">
        <f>G27/G30</f>
        <v>0.31740196078431371</v>
      </c>
      <c r="H31" s="898">
        <f>H27/H30</f>
        <v>0.31727642276422768</v>
      </c>
      <c r="I31" s="843"/>
      <c r="J31" s="743" t="s">
        <v>904</v>
      </c>
      <c r="K31" s="1742" t="s">
        <v>902</v>
      </c>
      <c r="L31" s="843"/>
      <c r="M31" s="843"/>
      <c r="N31" s="843"/>
      <c r="O31" s="843"/>
      <c r="P31" s="843"/>
      <c r="Q31" s="843"/>
      <c r="R31" s="843"/>
      <c r="S31" s="843"/>
    </row>
    <row r="32" spans="1:19" ht="19.5" customHeight="1" x14ac:dyDescent="0.2">
      <c r="A32" s="843"/>
      <c r="B32" s="899" t="s">
        <v>347</v>
      </c>
      <c r="C32" s="896"/>
      <c r="D32" s="795">
        <f>D31*5</f>
        <v>1.6268844221105527</v>
      </c>
      <c r="E32" s="796">
        <f>E31*5</f>
        <v>1.5851449275362319</v>
      </c>
      <c r="F32" s="797">
        <f>F31*5</f>
        <v>1.5876436781609198</v>
      </c>
      <c r="G32" s="900">
        <f>G31*5</f>
        <v>1.5870098039215685</v>
      </c>
      <c r="H32" s="901">
        <f>H31*5</f>
        <v>1.5863821138211385</v>
      </c>
      <c r="I32" s="843"/>
      <c r="J32" s="843"/>
      <c r="K32" s="852" t="s">
        <v>903</v>
      </c>
      <c r="L32" s="843"/>
      <c r="M32" s="843"/>
      <c r="N32" s="843"/>
      <c r="O32" s="843"/>
      <c r="P32" s="843"/>
      <c r="Q32" s="843"/>
      <c r="R32" s="843"/>
      <c r="S32" s="843"/>
    </row>
    <row r="33" spans="1:19" ht="15" customHeight="1" x14ac:dyDescent="0.2">
      <c r="A33" s="843"/>
      <c r="B33" s="875" t="s">
        <v>348</v>
      </c>
      <c r="C33" s="857"/>
      <c r="D33" s="798">
        <f>D30/5</f>
        <v>39.799999999999997</v>
      </c>
      <c r="E33" s="799">
        <f>E30/5</f>
        <v>41.4</v>
      </c>
      <c r="F33" s="800">
        <f>F30/5</f>
        <v>40.6</v>
      </c>
      <c r="G33" s="902">
        <f>G30/5</f>
        <v>40.799999999999997</v>
      </c>
      <c r="H33" s="903">
        <f>H30/5</f>
        <v>41</v>
      </c>
      <c r="I33" s="843"/>
      <c r="J33" s="843"/>
      <c r="K33" s="843"/>
      <c r="L33" s="843"/>
      <c r="M33" s="843"/>
      <c r="N33" s="843"/>
      <c r="O33" s="843"/>
      <c r="P33" s="843"/>
      <c r="Q33" s="843"/>
      <c r="R33" s="843"/>
      <c r="S33" s="843"/>
    </row>
    <row r="34" spans="1:19" ht="15" customHeight="1" x14ac:dyDescent="0.2">
      <c r="A34" s="843"/>
      <c r="B34" s="904" t="s">
        <v>349</v>
      </c>
      <c r="C34" s="905">
        <v>1</v>
      </c>
      <c r="D34" s="801">
        <f>(D27/$B$13)*$C$34</f>
        <v>64.75</v>
      </c>
      <c r="E34" s="802">
        <f>(E27/$B$13)*$C$34</f>
        <v>65.625</v>
      </c>
      <c r="F34" s="803">
        <f>(F27/$B$13)*$C$34</f>
        <v>64.458333333333343</v>
      </c>
      <c r="G34" s="803">
        <f>(G27/$B$13)*$C$34</f>
        <v>64.75</v>
      </c>
      <c r="H34" s="906">
        <f>(H27/$B$13)*$C$34</f>
        <v>65.041666666666671</v>
      </c>
      <c r="I34" s="843"/>
      <c r="J34" s="843"/>
      <c r="K34" s="843"/>
      <c r="L34" s="843"/>
      <c r="M34" s="843"/>
      <c r="N34" s="843"/>
      <c r="O34" s="843"/>
      <c r="P34" s="843"/>
      <c r="Q34" s="843"/>
      <c r="R34" s="843"/>
      <c r="S34" s="843"/>
    </row>
    <row r="35" spans="1:19" ht="15" customHeight="1" x14ac:dyDescent="0.2">
      <c r="A35" s="843"/>
      <c r="B35" s="907" t="s">
        <v>350</v>
      </c>
      <c r="C35" s="908">
        <f>C34</f>
        <v>1</v>
      </c>
      <c r="D35" s="805">
        <v>1.4583333333333333</v>
      </c>
      <c r="E35" s="806">
        <v>1.4583333333333333</v>
      </c>
      <c r="F35" s="909">
        <v>1.4583333333333333</v>
      </c>
      <c r="G35" s="909">
        <v>1.4583333333333333</v>
      </c>
      <c r="H35" s="910">
        <v>1.4583333333333333</v>
      </c>
      <c r="I35" s="843"/>
      <c r="J35" s="843"/>
      <c r="K35" s="843"/>
      <c r="L35" s="843"/>
      <c r="M35" s="843"/>
      <c r="N35" s="843"/>
      <c r="O35" s="843"/>
      <c r="P35" s="843"/>
      <c r="Q35" s="843"/>
      <c r="R35" s="843"/>
      <c r="S35" s="843"/>
    </row>
    <row r="36" spans="1:19" ht="15" customHeight="1" x14ac:dyDescent="0.2">
      <c r="A36" s="843"/>
      <c r="B36" s="911" t="s">
        <v>351</v>
      </c>
      <c r="C36" s="912">
        <f>C34</f>
        <v>1</v>
      </c>
      <c r="D36" s="807">
        <v>0.29166666666666669</v>
      </c>
      <c r="E36" s="808">
        <v>0.29166666666666669</v>
      </c>
      <c r="F36" s="809">
        <v>0.29166666666666669</v>
      </c>
      <c r="G36" s="809">
        <v>0.29166666666666669</v>
      </c>
      <c r="H36" s="913">
        <v>0.29166666666666669</v>
      </c>
      <c r="I36" s="843"/>
      <c r="J36" s="843"/>
      <c r="K36" s="843"/>
      <c r="L36" s="843"/>
      <c r="M36" s="843"/>
      <c r="N36" s="843"/>
      <c r="O36" s="843"/>
      <c r="P36" s="843"/>
      <c r="Q36" s="843"/>
      <c r="R36" s="843"/>
      <c r="S36" s="843"/>
    </row>
    <row r="37" spans="1:19" ht="15" customHeight="1" x14ac:dyDescent="0.2">
      <c r="A37" s="843"/>
      <c r="B37" s="904" t="s">
        <v>349</v>
      </c>
      <c r="C37" s="914">
        <v>0.8571428571428571</v>
      </c>
      <c r="D37" s="801">
        <f>(D27/$B$13)*$C$37</f>
        <v>55.5</v>
      </c>
      <c r="E37" s="802">
        <f>(E27/$B$13)*$C$37</f>
        <v>56.25</v>
      </c>
      <c r="F37" s="803">
        <f>(F27/$B$13)*$C$37</f>
        <v>55.250000000000007</v>
      </c>
      <c r="G37" s="803">
        <f>(G27/$B$13)*$C$37</f>
        <v>55.5</v>
      </c>
      <c r="H37" s="906">
        <f>(H27/$B$13)*$C$37</f>
        <v>55.75</v>
      </c>
      <c r="I37" s="843"/>
      <c r="J37" s="843"/>
      <c r="K37" s="843"/>
      <c r="L37" s="843"/>
      <c r="M37" s="843"/>
      <c r="N37" s="843"/>
      <c r="O37" s="843"/>
      <c r="P37" s="843"/>
      <c r="Q37" s="843"/>
      <c r="R37" s="843"/>
      <c r="S37" s="843"/>
    </row>
    <row r="38" spans="1:19" ht="15" customHeight="1" x14ac:dyDescent="0.2">
      <c r="A38" s="843"/>
      <c r="B38" s="907" t="s">
        <v>350</v>
      </c>
      <c r="C38" s="908">
        <f>C37</f>
        <v>0.8571428571428571</v>
      </c>
      <c r="D38" s="810">
        <f>(D35/$C$35)*$C$38</f>
        <v>1.2499999999999998</v>
      </c>
      <c r="E38" s="811">
        <f>(E35/$C$35)*$C$38</f>
        <v>1.2499999999999998</v>
      </c>
      <c r="F38" s="915">
        <f>(F35/$C$35)*$C$38</f>
        <v>1.2499999999999998</v>
      </c>
      <c r="G38" s="915">
        <f>(G35/$C$35)*$C$38</f>
        <v>1.2499999999999998</v>
      </c>
      <c r="H38" s="916">
        <f>(H35/$C$35)*$C$38</f>
        <v>1.2499999999999998</v>
      </c>
      <c r="I38" s="843"/>
      <c r="J38" s="843"/>
      <c r="K38" s="843"/>
      <c r="L38" s="843"/>
      <c r="M38" s="843"/>
      <c r="N38" s="843"/>
      <c r="O38" s="843"/>
      <c r="P38" s="843"/>
      <c r="Q38" s="843"/>
      <c r="R38" s="843"/>
      <c r="S38" s="843"/>
    </row>
    <row r="39" spans="1:19" ht="15" customHeight="1" x14ac:dyDescent="0.2">
      <c r="A39" s="843"/>
      <c r="B39" s="911" t="s">
        <v>351</v>
      </c>
      <c r="C39" s="912">
        <f>C37</f>
        <v>0.8571428571428571</v>
      </c>
      <c r="D39" s="813">
        <f>(D36/$C$36)*$C$39</f>
        <v>0.25</v>
      </c>
      <c r="E39" s="814">
        <f>(E36/$C$36)*$C$39</f>
        <v>0.25</v>
      </c>
      <c r="F39" s="815">
        <f>(F36/$C$36)*$C$39</f>
        <v>0.25</v>
      </c>
      <c r="G39" s="815">
        <f>(G36/$C$36)*$C$39</f>
        <v>0.25</v>
      </c>
      <c r="H39" s="917">
        <f>(H36/$C$36)*$C$39</f>
        <v>0.25</v>
      </c>
      <c r="I39" s="843"/>
      <c r="J39" s="843"/>
      <c r="K39" s="843"/>
      <c r="L39" s="843"/>
      <c r="M39" s="843"/>
      <c r="N39" s="843"/>
      <c r="O39" s="843"/>
      <c r="P39" s="843"/>
      <c r="Q39" s="843"/>
      <c r="R39" s="843"/>
      <c r="S39" s="843"/>
    </row>
    <row r="40" spans="1:19" ht="15" customHeight="1" x14ac:dyDescent="0.2">
      <c r="A40" s="843"/>
      <c r="B40" s="904" t="s">
        <v>349</v>
      </c>
      <c r="C40" s="914">
        <v>0.74285714285714277</v>
      </c>
      <c r="D40" s="801">
        <f>(D27/$B$13)*$C$40</f>
        <v>48.099999999999994</v>
      </c>
      <c r="E40" s="802">
        <f>(E27/$B$13)*$C$40</f>
        <v>48.749999999999993</v>
      </c>
      <c r="F40" s="803">
        <f>(F27/$B$13)*$C$40</f>
        <v>47.883333333333333</v>
      </c>
      <c r="G40" s="803">
        <f>(G27/$B$13)*$C$40</f>
        <v>48.099999999999994</v>
      </c>
      <c r="H40" s="906">
        <f>(H27/$B$13)*$C$40</f>
        <v>48.316666666666663</v>
      </c>
      <c r="I40" s="843"/>
      <c r="J40" s="843"/>
      <c r="K40" s="843"/>
      <c r="L40" s="843"/>
      <c r="M40" s="843"/>
      <c r="N40" s="843"/>
      <c r="O40" s="843"/>
      <c r="P40" s="843"/>
      <c r="Q40" s="843"/>
      <c r="R40" s="843"/>
      <c r="S40" s="843"/>
    </row>
    <row r="41" spans="1:19" ht="15" customHeight="1" x14ac:dyDescent="0.2">
      <c r="A41" s="843"/>
      <c r="B41" s="907" t="s">
        <v>350</v>
      </c>
      <c r="C41" s="908">
        <f>C40</f>
        <v>0.74285714285714277</v>
      </c>
      <c r="D41" s="810">
        <f>(D35/$C$35)*$C$41</f>
        <v>1.0833333333333333</v>
      </c>
      <c r="E41" s="811">
        <f>(E35/$C$35)*$C$41</f>
        <v>1.0833333333333333</v>
      </c>
      <c r="F41" s="915">
        <f>(F35/$C$35)*$C$41</f>
        <v>1.0833333333333333</v>
      </c>
      <c r="G41" s="915">
        <f>(G35/$C$35)*$C$41</f>
        <v>1.0833333333333333</v>
      </c>
      <c r="H41" s="916">
        <f>(H35/$C$35)*$C$41</f>
        <v>1.0833333333333333</v>
      </c>
      <c r="I41" s="843"/>
      <c r="J41" s="843"/>
      <c r="K41" s="843"/>
      <c r="L41" s="843"/>
      <c r="M41" s="843"/>
      <c r="N41" s="843"/>
      <c r="O41" s="843"/>
      <c r="P41" s="843"/>
      <c r="Q41" s="843"/>
      <c r="R41" s="843"/>
      <c r="S41" s="843"/>
    </row>
    <row r="42" spans="1:19" ht="15" customHeight="1" x14ac:dyDescent="0.2">
      <c r="A42" s="843"/>
      <c r="B42" s="918" t="s">
        <v>351</v>
      </c>
      <c r="C42" s="919">
        <f>C40</f>
        <v>0.74285714285714277</v>
      </c>
      <c r="D42" s="920">
        <f>(D36/$C$36)*$C$42</f>
        <v>0.21666666666666665</v>
      </c>
      <c r="E42" s="921">
        <f>(E36/$C$36)*$C$42</f>
        <v>0.21666666666666665</v>
      </c>
      <c r="F42" s="922">
        <f>(F36/$C$36)*$C$42</f>
        <v>0.21666666666666665</v>
      </c>
      <c r="G42" s="922">
        <f>(G36/$C$36)*$C$42</f>
        <v>0.21666666666666665</v>
      </c>
      <c r="H42" s="923">
        <f>(H36/$C$36)*$C$42</f>
        <v>0.21666666666666665</v>
      </c>
      <c r="I42" s="843"/>
      <c r="J42" s="843"/>
      <c r="K42" s="843"/>
      <c r="L42" s="843"/>
      <c r="M42" s="843"/>
      <c r="N42" s="843"/>
      <c r="O42" s="843"/>
      <c r="P42" s="843"/>
      <c r="Q42" s="843"/>
      <c r="R42" s="843"/>
      <c r="S42" s="843"/>
    </row>
    <row r="43" spans="1:19" ht="15" customHeight="1" x14ac:dyDescent="0.2">
      <c r="B43" s="816"/>
      <c r="C43" s="804"/>
      <c r="D43" s="812"/>
      <c r="E43" s="812"/>
      <c r="F43" s="812"/>
      <c r="G43" s="812"/>
      <c r="H43" s="812"/>
      <c r="I43" s="843"/>
      <c r="J43" s="843"/>
      <c r="K43" s="843"/>
      <c r="L43" s="843"/>
      <c r="M43" s="843"/>
      <c r="N43" s="843"/>
      <c r="O43" s="843"/>
      <c r="P43" s="843"/>
      <c r="Q43" s="843"/>
      <c r="R43" s="843"/>
      <c r="S43" s="843"/>
    </row>
    <row r="44" spans="1:19" ht="15" customHeight="1" x14ac:dyDescent="0.2">
      <c r="B44" s="924"/>
      <c r="C44" s="844"/>
      <c r="D44" s="925"/>
      <c r="E44" s="925"/>
      <c r="F44" s="925"/>
      <c r="G44" s="925"/>
      <c r="H44" s="925"/>
      <c r="I44" s="843"/>
      <c r="J44" s="843"/>
      <c r="K44" s="843"/>
      <c r="L44" s="843"/>
      <c r="M44" s="843"/>
      <c r="N44" s="843"/>
      <c r="O44" s="843"/>
      <c r="P44" s="843"/>
      <c r="Q44" s="843"/>
      <c r="R44" s="843"/>
      <c r="S44" s="843"/>
    </row>
    <row r="45" spans="1:19" ht="23.25" x14ac:dyDescent="0.2">
      <c r="A45" s="229"/>
      <c r="B45" s="1691" t="s">
        <v>912</v>
      </c>
      <c r="C45" s="1691"/>
      <c r="D45" s="1691"/>
      <c r="E45" s="1691"/>
      <c r="F45" s="1691"/>
      <c r="G45" s="1691"/>
      <c r="H45" s="1691"/>
      <c r="I45" s="926"/>
      <c r="J45" s="926"/>
      <c r="K45" s="229"/>
      <c r="L45" s="229"/>
      <c r="M45" s="843"/>
      <c r="N45" s="843"/>
      <c r="O45" s="843"/>
      <c r="P45" s="843"/>
      <c r="Q45" s="843"/>
      <c r="R45" s="843"/>
      <c r="S45" s="843"/>
    </row>
    <row r="46" spans="1:19" ht="15.75" x14ac:dyDescent="0.2">
      <c r="A46" s="229"/>
      <c r="B46" s="964" t="s">
        <v>375</v>
      </c>
      <c r="C46" s="964"/>
      <c r="D46" s="964"/>
      <c r="E46" s="964"/>
      <c r="F46" s="964"/>
      <c r="G46" s="964"/>
      <c r="H46" s="964"/>
      <c r="I46" s="964"/>
      <c r="J46" s="964"/>
      <c r="K46" s="229"/>
      <c r="L46" s="229"/>
      <c r="M46" s="843"/>
      <c r="N46" s="843"/>
      <c r="O46" s="843"/>
      <c r="P46" s="843"/>
      <c r="Q46" s="843"/>
      <c r="R46" s="843"/>
      <c r="S46" s="843"/>
    </row>
    <row r="47" spans="1:19" ht="15.75" x14ac:dyDescent="0.2">
      <c r="A47" s="229"/>
      <c r="B47" s="964"/>
      <c r="C47" s="964"/>
      <c r="D47" s="964"/>
      <c r="E47" s="964"/>
      <c r="F47" s="964"/>
      <c r="G47" s="964"/>
      <c r="H47" s="964"/>
      <c r="I47" s="964"/>
      <c r="J47" s="964"/>
      <c r="K47" s="229"/>
      <c r="L47" s="229"/>
      <c r="M47" s="843"/>
      <c r="N47" s="843"/>
      <c r="O47" s="843"/>
      <c r="P47" s="843"/>
      <c r="Q47" s="843"/>
      <c r="R47" s="843"/>
      <c r="S47" s="843"/>
    </row>
    <row r="48" spans="1:19" ht="15.75" x14ac:dyDescent="0.2">
      <c r="A48" s="229"/>
      <c r="B48" s="964" t="s">
        <v>376</v>
      </c>
      <c r="C48" s="964"/>
      <c r="D48" s="964"/>
      <c r="E48" s="964"/>
      <c r="F48" s="964"/>
      <c r="G48" s="964"/>
      <c r="H48" s="964"/>
      <c r="I48" s="964"/>
      <c r="J48" s="964"/>
      <c r="K48" s="229"/>
      <c r="L48" s="229"/>
      <c r="M48" s="843"/>
      <c r="N48" s="843"/>
      <c r="O48" s="843"/>
      <c r="P48" s="843"/>
      <c r="Q48" s="843"/>
      <c r="R48" s="843"/>
      <c r="S48" s="843"/>
    </row>
    <row r="49" spans="1:19" ht="15.75" x14ac:dyDescent="0.2">
      <c r="A49" s="229"/>
      <c r="B49" s="964"/>
      <c r="C49" s="964" t="s">
        <v>377</v>
      </c>
      <c r="D49" s="964"/>
      <c r="E49" s="964"/>
      <c r="F49" s="964"/>
      <c r="G49" s="964"/>
      <c r="H49" s="964"/>
      <c r="I49" s="964"/>
      <c r="J49" s="964"/>
      <c r="K49" s="229"/>
      <c r="L49" s="229"/>
      <c r="M49" s="843"/>
      <c r="N49" s="843"/>
      <c r="O49" s="843"/>
      <c r="P49" s="843"/>
      <c r="Q49" s="843"/>
      <c r="R49" s="843"/>
      <c r="S49" s="843"/>
    </row>
    <row r="50" spans="1:19" ht="15.75" x14ac:dyDescent="0.2">
      <c r="A50" s="229"/>
      <c r="B50" s="964"/>
      <c r="C50" s="964" t="s">
        <v>378</v>
      </c>
      <c r="D50" s="964"/>
      <c r="E50" s="964"/>
      <c r="F50" s="964"/>
      <c r="G50" s="964"/>
      <c r="H50" s="964"/>
      <c r="I50" s="964"/>
      <c r="J50" s="964"/>
      <c r="K50" s="229"/>
      <c r="L50" s="229"/>
      <c r="M50" s="843"/>
      <c r="N50" s="843"/>
      <c r="O50" s="843"/>
      <c r="P50" s="843"/>
      <c r="Q50" s="843"/>
      <c r="R50" s="843"/>
      <c r="S50" s="843"/>
    </row>
    <row r="51" spans="1:19" ht="18.75" x14ac:dyDescent="0.2">
      <c r="A51" s="229"/>
      <c r="B51" s="964"/>
      <c r="C51" s="964"/>
      <c r="D51" s="964"/>
      <c r="E51" s="964"/>
      <c r="F51" s="964"/>
      <c r="G51" s="964"/>
      <c r="H51" s="964"/>
      <c r="I51" s="964"/>
      <c r="J51" s="964"/>
      <c r="K51" s="1067" t="s">
        <v>923</v>
      </c>
      <c r="L51" s="1068"/>
      <c r="M51" s="1069"/>
      <c r="N51" s="843"/>
      <c r="O51" s="843"/>
      <c r="P51" s="843"/>
      <c r="Q51" s="843"/>
      <c r="R51" s="843"/>
      <c r="S51" s="843"/>
    </row>
    <row r="52" spans="1:19" ht="15.75" x14ac:dyDescent="0.2">
      <c r="A52" s="229"/>
      <c r="B52" s="965"/>
      <c r="C52" s="966"/>
      <c r="D52" s="967" t="s">
        <v>911</v>
      </c>
      <c r="E52" s="967"/>
      <c r="F52" s="966"/>
      <c r="G52" s="966"/>
      <c r="H52" s="966"/>
      <c r="I52" s="968"/>
      <c r="J52" s="964"/>
      <c r="K52" s="229"/>
      <c r="L52" s="229"/>
      <c r="S52" s="843"/>
    </row>
    <row r="53" spans="1:19" ht="15.75" x14ac:dyDescent="0.2">
      <c r="A53" s="229"/>
      <c r="B53" s="969"/>
      <c r="C53" s="927" t="s">
        <v>380</v>
      </c>
      <c r="D53" s="964"/>
      <c r="E53" s="970"/>
      <c r="F53" s="964"/>
      <c r="G53" s="964"/>
      <c r="H53" s="964"/>
      <c r="I53" s="971"/>
      <c r="J53" s="743" t="s">
        <v>904</v>
      </c>
      <c r="K53" s="1745" t="s">
        <v>924</v>
      </c>
      <c r="L53" s="926"/>
      <c r="M53" s="843"/>
      <c r="N53" s="843"/>
      <c r="O53" s="843"/>
      <c r="P53" s="843"/>
      <c r="Q53" s="843"/>
    </row>
    <row r="54" spans="1:19" ht="16.5" thickBot="1" x14ac:dyDescent="0.25">
      <c r="A54" s="229"/>
      <c r="B54" s="969"/>
      <c r="C54" s="964"/>
      <c r="D54" s="964"/>
      <c r="E54" s="964"/>
      <c r="F54" s="964"/>
      <c r="G54" s="964"/>
      <c r="H54" s="964"/>
      <c r="I54" s="971"/>
      <c r="J54" s="964"/>
      <c r="K54" s="1743"/>
      <c r="L54" s="926"/>
      <c r="M54" s="843"/>
      <c r="N54" s="843"/>
      <c r="O54" s="843"/>
      <c r="P54" s="843"/>
      <c r="Q54" s="843"/>
    </row>
    <row r="55" spans="1:19" ht="16.5" thickTop="1" x14ac:dyDescent="0.2">
      <c r="A55" s="229"/>
      <c r="B55" s="969"/>
      <c r="C55" s="972"/>
      <c r="D55" s="973"/>
      <c r="E55" s="973"/>
      <c r="F55" s="973"/>
      <c r="G55" s="974"/>
      <c r="H55" s="964"/>
      <c r="I55" s="971"/>
      <c r="J55" s="743" t="s">
        <v>904</v>
      </c>
      <c r="K55" s="1745" t="s">
        <v>925</v>
      </c>
      <c r="L55" s="926"/>
      <c r="M55" s="843"/>
      <c r="N55" s="843"/>
      <c r="O55" s="843"/>
      <c r="P55" s="843"/>
      <c r="Q55" s="843"/>
    </row>
    <row r="56" spans="1:19" ht="15.75" x14ac:dyDescent="0.2">
      <c r="A56" s="229"/>
      <c r="B56" s="969"/>
      <c r="C56" s="975"/>
      <c r="D56" s="976"/>
      <c r="E56" s="977" t="s">
        <v>383</v>
      </c>
      <c r="F56" s="976"/>
      <c r="G56" s="978"/>
      <c r="H56" s="964"/>
      <c r="I56" s="971"/>
      <c r="J56" s="964"/>
      <c r="K56" s="1743"/>
      <c r="L56" s="926"/>
      <c r="M56" s="843"/>
      <c r="N56" s="843"/>
      <c r="O56" s="843"/>
      <c r="P56" s="843"/>
      <c r="Q56" s="843"/>
    </row>
    <row r="57" spans="1:19" ht="15.75" x14ac:dyDescent="0.2">
      <c r="A57" s="229"/>
      <c r="B57" s="969"/>
      <c r="C57" s="975"/>
      <c r="D57" s="976"/>
      <c r="E57" s="979">
        <v>7</v>
      </c>
      <c r="F57" s="976"/>
      <c r="G57" s="978"/>
      <c r="H57" s="964"/>
      <c r="I57" s="971"/>
      <c r="J57" s="743" t="s">
        <v>904</v>
      </c>
      <c r="K57" s="1745" t="s">
        <v>927</v>
      </c>
      <c r="L57" s="926"/>
      <c r="M57" s="843"/>
      <c r="N57" s="843"/>
      <c r="O57" s="843"/>
      <c r="P57" s="843"/>
      <c r="Q57" s="843"/>
    </row>
    <row r="58" spans="1:19" ht="16.5" thickBot="1" x14ac:dyDescent="0.25">
      <c r="A58" s="229"/>
      <c r="B58" s="969"/>
      <c r="C58" s="980"/>
      <c r="D58" s="981"/>
      <c r="E58" s="981"/>
      <c r="F58" s="981"/>
      <c r="G58" s="982"/>
      <c r="H58" s="964"/>
      <c r="I58" s="971"/>
      <c r="J58" s="964"/>
      <c r="K58" s="1743"/>
      <c r="L58" s="926"/>
      <c r="M58" s="843"/>
      <c r="N58" s="843"/>
      <c r="O58" s="843"/>
      <c r="P58" s="843"/>
      <c r="Q58" s="843"/>
    </row>
    <row r="59" spans="1:19" ht="16.5" thickTop="1" x14ac:dyDescent="0.2">
      <c r="A59" s="229"/>
      <c r="B59" s="969"/>
      <c r="C59" s="964"/>
      <c r="D59" s="964"/>
      <c r="E59" s="964"/>
      <c r="F59" s="964"/>
      <c r="G59" s="964"/>
      <c r="H59" s="964"/>
      <c r="I59" s="971"/>
      <c r="J59" s="743" t="s">
        <v>904</v>
      </c>
      <c r="K59" s="1745" t="s">
        <v>928</v>
      </c>
      <c r="L59" s="926"/>
      <c r="M59" s="843"/>
      <c r="N59" s="843"/>
      <c r="O59" s="843"/>
      <c r="P59" s="843"/>
      <c r="Q59" s="843"/>
    </row>
    <row r="60" spans="1:19" ht="15.75" x14ac:dyDescent="0.25">
      <c r="A60" s="229"/>
      <c r="B60" s="969"/>
      <c r="C60" s="964"/>
      <c r="D60" s="964"/>
      <c r="E60" s="964">
        <v>25.5</v>
      </c>
      <c r="F60" s="964" t="s">
        <v>389</v>
      </c>
      <c r="G60" s="964"/>
      <c r="H60" s="964"/>
      <c r="I60" s="971"/>
      <c r="J60" s="964"/>
      <c r="K60" s="1310"/>
      <c r="L60" s="843"/>
      <c r="M60" s="843"/>
      <c r="N60" s="843"/>
      <c r="O60" s="843"/>
      <c r="P60" s="843"/>
      <c r="Q60" s="843"/>
    </row>
    <row r="61" spans="1:19" ht="15.75" x14ac:dyDescent="0.2">
      <c r="A61" s="229"/>
      <c r="B61" s="969"/>
      <c r="C61" s="964"/>
      <c r="D61" s="964"/>
      <c r="E61" s="964">
        <v>5</v>
      </c>
      <c r="F61" s="964" t="s">
        <v>390</v>
      </c>
      <c r="G61" s="964"/>
      <c r="H61" s="964"/>
      <c r="I61" s="971"/>
      <c r="J61" s="743" t="s">
        <v>904</v>
      </c>
      <c r="K61" s="1745" t="s">
        <v>926</v>
      </c>
      <c r="L61" s="926"/>
      <c r="M61" s="843"/>
      <c r="N61" s="843"/>
      <c r="O61" s="843"/>
      <c r="P61" s="843"/>
      <c r="Q61" s="843"/>
    </row>
    <row r="62" spans="1:19" ht="15.75" x14ac:dyDescent="0.2">
      <c r="A62" s="229"/>
      <c r="B62" s="969"/>
      <c r="C62" s="964"/>
      <c r="D62" s="964"/>
      <c r="E62" s="983" t="s">
        <v>391</v>
      </c>
      <c r="F62" s="964"/>
      <c r="G62" s="964"/>
      <c r="H62" s="964"/>
      <c r="I62" s="971"/>
      <c r="J62" s="964"/>
      <c r="K62" s="1743"/>
      <c r="L62" s="926"/>
      <c r="M62" s="843"/>
      <c r="N62" s="843"/>
      <c r="O62" s="843"/>
      <c r="P62" s="843"/>
      <c r="Q62" s="843"/>
    </row>
    <row r="63" spans="1:19" ht="15.75" x14ac:dyDescent="0.2">
      <c r="A63" s="229"/>
      <c r="B63" s="969"/>
      <c r="C63" s="964"/>
      <c r="D63" s="964"/>
      <c r="E63" s="964">
        <v>6</v>
      </c>
      <c r="F63" s="964" t="s">
        <v>389</v>
      </c>
      <c r="G63" s="964"/>
      <c r="H63" s="964"/>
      <c r="I63" s="971"/>
      <c r="J63" s="743" t="s">
        <v>904</v>
      </c>
      <c r="K63" s="1745" t="s">
        <v>929</v>
      </c>
      <c r="L63" s="843"/>
      <c r="M63" s="843"/>
      <c r="N63" s="843"/>
      <c r="O63" s="843"/>
      <c r="P63" s="843"/>
      <c r="Q63" s="843"/>
    </row>
    <row r="64" spans="1:19" ht="15.75" x14ac:dyDescent="0.2">
      <c r="A64" s="229"/>
      <c r="B64" s="969"/>
      <c r="C64" s="964"/>
      <c r="D64" s="964"/>
      <c r="E64" s="964">
        <v>2</v>
      </c>
      <c r="F64" s="1697" t="s">
        <v>393</v>
      </c>
      <c r="G64" s="1697"/>
      <c r="H64" s="1697"/>
      <c r="I64" s="1698"/>
      <c r="J64" s="964"/>
      <c r="K64" s="1743"/>
      <c r="L64" s="926"/>
      <c r="M64" s="843"/>
      <c r="N64" s="843"/>
      <c r="O64" s="843"/>
      <c r="P64" s="843"/>
      <c r="Q64" s="843"/>
    </row>
    <row r="65" spans="1:17" ht="15.75" x14ac:dyDescent="0.2">
      <c r="A65" s="229"/>
      <c r="B65" s="969"/>
      <c r="C65" s="964"/>
      <c r="D65" s="964"/>
      <c r="E65" s="983" t="s">
        <v>395</v>
      </c>
      <c r="F65" s="964"/>
      <c r="G65" s="964"/>
      <c r="H65" s="964"/>
      <c r="I65" s="971"/>
      <c r="J65" s="743" t="s">
        <v>904</v>
      </c>
      <c r="K65" s="1745" t="s">
        <v>930</v>
      </c>
      <c r="L65" s="926"/>
      <c r="M65" s="843"/>
      <c r="N65" s="843"/>
      <c r="O65" s="843"/>
      <c r="P65" s="843"/>
      <c r="Q65" s="843"/>
    </row>
    <row r="66" spans="1:17" ht="15.75" x14ac:dyDescent="0.2">
      <c r="A66" s="229"/>
      <c r="B66" s="969"/>
      <c r="C66" s="964"/>
      <c r="D66" s="964"/>
      <c r="E66" s="964">
        <v>7</v>
      </c>
      <c r="F66" s="964" t="s">
        <v>397</v>
      </c>
      <c r="G66" s="964"/>
      <c r="H66" s="964"/>
      <c r="I66" s="971"/>
      <c r="J66" s="964"/>
      <c r="K66" s="1743"/>
      <c r="L66" s="926"/>
      <c r="M66" s="843"/>
      <c r="N66" s="843"/>
      <c r="O66" s="843"/>
      <c r="P66" s="843"/>
      <c r="Q66" s="843"/>
    </row>
    <row r="67" spans="1:17" ht="15.75" x14ac:dyDescent="0.2">
      <c r="A67" s="229"/>
      <c r="B67" s="969"/>
      <c r="C67" s="964"/>
      <c r="D67" s="964"/>
      <c r="E67" s="964"/>
      <c r="F67" s="964"/>
      <c r="G67" s="964"/>
      <c r="H67" s="964"/>
      <c r="I67" s="971"/>
      <c r="J67" s="743" t="s">
        <v>904</v>
      </c>
      <c r="K67" s="1745" t="s">
        <v>931</v>
      </c>
      <c r="L67" s="926"/>
      <c r="M67" s="843"/>
      <c r="N67" s="843"/>
      <c r="O67" s="843"/>
      <c r="P67" s="843"/>
      <c r="Q67" s="843"/>
    </row>
    <row r="68" spans="1:17" ht="15.75" x14ac:dyDescent="0.2">
      <c r="A68" s="229"/>
      <c r="B68" s="969"/>
      <c r="C68" s="964"/>
      <c r="D68" s="964"/>
      <c r="E68" s="984" t="s">
        <v>399</v>
      </c>
      <c r="F68" s="964"/>
      <c r="G68" s="985">
        <f>((25.5*5)+(6*2))/7</f>
        <v>19.928571428571427</v>
      </c>
      <c r="H68" s="964" t="s">
        <v>400</v>
      </c>
      <c r="I68" s="971"/>
      <c r="J68" s="964"/>
      <c r="K68" s="1743"/>
      <c r="L68" s="926"/>
      <c r="M68" s="843"/>
      <c r="N68" s="843"/>
      <c r="O68" s="843"/>
      <c r="P68" s="843"/>
      <c r="Q68" s="843"/>
    </row>
    <row r="69" spans="1:17" ht="15.75" x14ac:dyDescent="0.2">
      <c r="A69" s="229"/>
      <c r="B69" s="969"/>
      <c r="C69" s="964"/>
      <c r="D69" s="986" t="s">
        <v>401</v>
      </c>
      <c r="E69" s="986"/>
      <c r="F69" s="987"/>
      <c r="G69" s="964"/>
      <c r="H69" s="964"/>
      <c r="I69" s="971"/>
      <c r="J69" s="743" t="s">
        <v>904</v>
      </c>
      <c r="K69" s="1745" t="s">
        <v>932</v>
      </c>
      <c r="L69" s="926"/>
      <c r="M69" s="843"/>
      <c r="N69" s="843"/>
      <c r="O69" s="843"/>
      <c r="P69" s="843"/>
      <c r="Q69" s="843"/>
    </row>
    <row r="70" spans="1:17" ht="15.75" x14ac:dyDescent="0.2">
      <c r="A70" s="229"/>
      <c r="B70" s="988"/>
      <c r="C70" s="989"/>
      <c r="D70" s="989"/>
      <c r="E70" s="989"/>
      <c r="F70" s="989"/>
      <c r="G70" s="989"/>
      <c r="H70" s="989"/>
      <c r="I70" s="990"/>
      <c r="J70" s="964"/>
      <c r="K70" s="1743"/>
      <c r="L70" s="926"/>
      <c r="M70" s="843"/>
      <c r="N70" s="843"/>
      <c r="O70" s="843"/>
      <c r="P70" s="843"/>
      <c r="Q70" s="843"/>
    </row>
    <row r="71" spans="1:17" ht="15.75" x14ac:dyDescent="0.2">
      <c r="A71" s="229"/>
      <c r="B71" s="964"/>
      <c r="C71" s="964"/>
      <c r="D71" s="964"/>
      <c r="E71" s="964"/>
      <c r="F71" s="964"/>
      <c r="G71" s="964"/>
      <c r="H71" s="964"/>
      <c r="I71" s="964"/>
      <c r="J71" s="743" t="s">
        <v>904</v>
      </c>
      <c r="K71" s="1745" t="s">
        <v>933</v>
      </c>
      <c r="L71" s="926"/>
      <c r="M71" s="843"/>
      <c r="N71" s="843"/>
      <c r="O71" s="843"/>
      <c r="P71" s="843"/>
      <c r="Q71" s="843"/>
    </row>
    <row r="72" spans="1:17" ht="15.75" x14ac:dyDescent="0.25">
      <c r="A72" s="229"/>
      <c r="B72" s="965"/>
      <c r="C72" s="966"/>
      <c r="D72" s="967" t="s">
        <v>453</v>
      </c>
      <c r="E72" s="967"/>
      <c r="F72" s="966"/>
      <c r="G72" s="966"/>
      <c r="H72" s="966"/>
      <c r="I72" s="968"/>
      <c r="K72" s="1744"/>
      <c r="L72" s="229"/>
    </row>
    <row r="73" spans="1:17" ht="15.75" x14ac:dyDescent="0.2">
      <c r="A73" s="229"/>
      <c r="B73" s="969"/>
      <c r="C73" s="927" t="s">
        <v>457</v>
      </c>
      <c r="D73" s="964"/>
      <c r="E73" s="970"/>
      <c r="F73" s="964"/>
      <c r="G73" s="964"/>
      <c r="H73" s="964"/>
      <c r="I73" s="971"/>
      <c r="L73" s="229"/>
    </row>
    <row r="74" spans="1:17" ht="16.5" thickBot="1" x14ac:dyDescent="0.25">
      <c r="A74" s="229"/>
      <c r="B74" s="969"/>
      <c r="C74" s="964"/>
      <c r="D74" s="964"/>
      <c r="E74" s="964"/>
      <c r="F74" s="964"/>
      <c r="G74" s="964"/>
      <c r="H74" s="964"/>
      <c r="I74" s="971"/>
      <c r="J74" s="964"/>
      <c r="K74" s="229"/>
      <c r="L74" s="229"/>
    </row>
    <row r="75" spans="1:17" ht="16.5" thickTop="1" x14ac:dyDescent="0.2">
      <c r="A75" s="229"/>
      <c r="B75" s="969"/>
      <c r="C75" s="972"/>
      <c r="D75" s="973"/>
      <c r="E75" s="973"/>
      <c r="F75" s="973"/>
      <c r="G75" s="974"/>
      <c r="H75" s="964"/>
      <c r="I75" s="971"/>
      <c r="J75" s="964"/>
      <c r="K75" s="229"/>
      <c r="L75" s="229"/>
    </row>
    <row r="76" spans="1:17" ht="15.75" x14ac:dyDescent="0.2">
      <c r="A76" s="229"/>
      <c r="B76" s="969"/>
      <c r="C76" s="975"/>
      <c r="D76" s="976"/>
      <c r="E76" s="977" t="s">
        <v>409</v>
      </c>
      <c r="F76" s="976"/>
      <c r="G76" s="978"/>
      <c r="H76" s="964"/>
      <c r="I76" s="971"/>
      <c r="L76" s="229"/>
    </row>
    <row r="77" spans="1:17" ht="15.75" x14ac:dyDescent="0.2">
      <c r="A77" s="229"/>
      <c r="B77" s="969"/>
      <c r="C77" s="975"/>
      <c r="D77" s="976"/>
      <c r="E77" s="979">
        <v>7</v>
      </c>
      <c r="F77" s="976"/>
      <c r="G77" s="978"/>
      <c r="H77" s="964"/>
      <c r="I77" s="971"/>
      <c r="L77" s="229"/>
    </row>
    <row r="78" spans="1:17" ht="16.5" thickBot="1" x14ac:dyDescent="0.25">
      <c r="A78" s="229"/>
      <c r="B78" s="969"/>
      <c r="C78" s="980"/>
      <c r="D78" s="981"/>
      <c r="E78" s="981"/>
      <c r="F78" s="981"/>
      <c r="G78" s="982"/>
      <c r="H78" s="964"/>
      <c r="I78" s="971"/>
      <c r="L78" s="229"/>
    </row>
    <row r="79" spans="1:17" ht="16.5" thickTop="1" x14ac:dyDescent="0.2">
      <c r="A79" s="229"/>
      <c r="B79" s="969"/>
      <c r="C79" s="964"/>
      <c r="D79" s="964"/>
      <c r="E79" s="964"/>
      <c r="F79" s="964"/>
      <c r="G79" s="964"/>
      <c r="H79" s="964"/>
      <c r="I79" s="971"/>
      <c r="L79" s="229"/>
    </row>
    <row r="80" spans="1:17" ht="15.75" x14ac:dyDescent="0.2">
      <c r="A80" s="229"/>
      <c r="B80" s="969"/>
      <c r="C80" s="964"/>
      <c r="D80" s="964"/>
      <c r="E80" s="964">
        <v>15</v>
      </c>
      <c r="F80" s="964" t="s">
        <v>458</v>
      </c>
      <c r="G80" s="964"/>
      <c r="H80" s="964"/>
      <c r="I80" s="971"/>
      <c r="L80" s="229"/>
    </row>
    <row r="81" spans="1:12" ht="15.75" x14ac:dyDescent="0.2">
      <c r="A81" s="229"/>
      <c r="B81" s="969"/>
      <c r="C81" s="964"/>
      <c r="D81" s="964"/>
      <c r="E81" s="964"/>
      <c r="F81" s="964"/>
      <c r="G81" s="964"/>
      <c r="H81" s="964"/>
      <c r="I81" s="971"/>
      <c r="L81" s="229"/>
    </row>
    <row r="82" spans="1:12" ht="15.75" x14ac:dyDescent="0.2">
      <c r="A82" s="229"/>
      <c r="B82" s="969"/>
      <c r="C82" s="964"/>
      <c r="D82" s="964"/>
      <c r="E82" s="964">
        <v>28</v>
      </c>
      <c r="F82" s="964" t="s">
        <v>389</v>
      </c>
      <c r="G82" s="964"/>
      <c r="H82" s="964"/>
      <c r="I82" s="971"/>
      <c r="L82" s="229"/>
    </row>
    <row r="83" spans="1:12" ht="15.75" x14ac:dyDescent="0.2">
      <c r="A83" s="229"/>
      <c r="B83" s="969"/>
      <c r="C83" s="964"/>
      <c r="D83" s="964"/>
      <c r="E83" s="964" t="s">
        <v>413</v>
      </c>
      <c r="F83" s="964"/>
      <c r="G83" s="964"/>
      <c r="H83" s="964"/>
      <c r="I83" s="971"/>
      <c r="L83" s="229"/>
    </row>
    <row r="84" spans="1:12" ht="15.75" x14ac:dyDescent="0.2">
      <c r="A84" s="229"/>
      <c r="B84" s="969"/>
      <c r="C84" s="964"/>
      <c r="D84" s="964"/>
      <c r="E84" s="964">
        <v>15</v>
      </c>
      <c r="F84" s="964" t="s">
        <v>459</v>
      </c>
      <c r="G84" s="964"/>
      <c r="H84" s="964"/>
      <c r="I84" s="971"/>
      <c r="L84" s="229"/>
    </row>
    <row r="85" spans="1:12" ht="15.75" x14ac:dyDescent="0.2">
      <c r="A85" s="229"/>
      <c r="B85" s="969"/>
      <c r="C85" s="964"/>
      <c r="D85" s="964"/>
      <c r="E85" s="991" t="s">
        <v>402</v>
      </c>
      <c r="F85" s="964"/>
      <c r="G85" s="964"/>
      <c r="H85" s="964"/>
      <c r="I85" s="971"/>
      <c r="J85" s="964"/>
      <c r="K85" s="229"/>
      <c r="L85" s="229"/>
    </row>
    <row r="86" spans="1:12" ht="15.75" x14ac:dyDescent="0.2">
      <c r="A86" s="229"/>
      <c r="B86" s="969"/>
      <c r="C86" s="964"/>
      <c r="D86" s="964"/>
      <c r="E86" s="983">
        <v>420</v>
      </c>
      <c r="F86" s="964" t="s">
        <v>459</v>
      </c>
      <c r="G86" s="964"/>
      <c r="H86" s="964"/>
      <c r="I86" s="971"/>
      <c r="J86" s="964"/>
      <c r="K86" s="229"/>
      <c r="L86" s="229"/>
    </row>
    <row r="87" spans="1:12" ht="15.75" x14ac:dyDescent="0.2">
      <c r="A87" s="229"/>
      <c r="B87" s="969"/>
      <c r="C87" s="964"/>
      <c r="D87" s="964"/>
      <c r="E87" s="964"/>
      <c r="F87" s="964"/>
      <c r="G87" s="964"/>
      <c r="H87" s="964"/>
      <c r="I87" s="971"/>
      <c r="J87" s="964"/>
      <c r="K87" s="229"/>
      <c r="L87" s="229"/>
    </row>
    <row r="88" spans="1:12" ht="15.75" x14ac:dyDescent="0.2">
      <c r="A88" s="229"/>
      <c r="B88" s="969"/>
      <c r="C88" s="964"/>
      <c r="D88" s="965"/>
      <c r="E88" s="992" t="s">
        <v>460</v>
      </c>
      <c r="F88" s="966"/>
      <c r="G88" s="968"/>
      <c r="H88" s="964"/>
      <c r="I88" s="971"/>
      <c r="J88" s="964"/>
      <c r="K88" s="229"/>
      <c r="L88" s="229"/>
    </row>
    <row r="89" spans="1:12" ht="15.75" x14ac:dyDescent="0.2">
      <c r="A89" s="229"/>
      <c r="B89" s="969"/>
      <c r="C89" s="964"/>
      <c r="D89" s="969"/>
      <c r="E89" s="984" t="s">
        <v>461</v>
      </c>
      <c r="F89" s="993" t="s">
        <v>402</v>
      </c>
      <c r="G89" s="994">
        <f>28*15</f>
        <v>420</v>
      </c>
      <c r="H89" s="964"/>
      <c r="I89" s="971"/>
      <c r="J89" s="964"/>
      <c r="K89" s="229"/>
      <c r="L89" s="229"/>
    </row>
    <row r="90" spans="1:12" ht="15.75" x14ac:dyDescent="0.2">
      <c r="A90" s="229"/>
      <c r="B90" s="969"/>
      <c r="C90" s="964"/>
      <c r="D90" s="988"/>
      <c r="E90" s="995"/>
      <c r="F90" s="996"/>
      <c r="G90" s="997"/>
      <c r="H90" s="964"/>
      <c r="I90" s="971"/>
      <c r="J90" s="964"/>
      <c r="K90" s="229"/>
      <c r="L90" s="229"/>
    </row>
    <row r="91" spans="1:12" ht="15.75" x14ac:dyDescent="0.2">
      <c r="A91" s="229"/>
      <c r="B91" s="969"/>
      <c r="C91" s="964"/>
      <c r="D91" s="964"/>
      <c r="E91" s="984"/>
      <c r="F91" s="964"/>
      <c r="G91" s="985"/>
      <c r="H91" s="964"/>
      <c r="I91" s="971"/>
      <c r="J91" s="964"/>
      <c r="K91" s="229"/>
      <c r="L91" s="229"/>
    </row>
    <row r="92" spans="1:12" ht="15.75" x14ac:dyDescent="0.2">
      <c r="A92" s="229"/>
      <c r="B92" s="988"/>
      <c r="C92" s="989"/>
      <c r="D92" s="989"/>
      <c r="E92" s="989"/>
      <c r="F92" s="989"/>
      <c r="G92" s="989"/>
      <c r="H92" s="989"/>
      <c r="I92" s="998" t="s">
        <v>462</v>
      </c>
      <c r="J92" s="964"/>
      <c r="K92" s="229"/>
      <c r="L92" s="229"/>
    </row>
    <row r="93" spans="1:12" ht="15.75" x14ac:dyDescent="0.2">
      <c r="A93" s="229"/>
      <c r="B93" s="964"/>
      <c r="C93" s="964"/>
      <c r="D93" s="964"/>
      <c r="E93" s="964"/>
      <c r="F93" s="964"/>
      <c r="G93" s="964"/>
      <c r="H93" s="964"/>
      <c r="I93" s="964"/>
      <c r="J93" s="964"/>
      <c r="K93" s="229"/>
      <c r="L93" s="229"/>
    </row>
    <row r="94" spans="1:12" ht="15.75" x14ac:dyDescent="0.2">
      <c r="A94" s="229"/>
      <c r="B94" s="965"/>
      <c r="C94" s="966"/>
      <c r="D94" s="967" t="s">
        <v>463</v>
      </c>
      <c r="E94" s="999"/>
      <c r="F94" s="966"/>
      <c r="G94" s="966"/>
      <c r="H94" s="966"/>
      <c r="I94" s="968"/>
      <c r="J94" s="964"/>
      <c r="K94" s="229"/>
      <c r="L94" s="229"/>
    </row>
    <row r="95" spans="1:12" ht="15.75" x14ac:dyDescent="0.2">
      <c r="A95" s="229"/>
      <c r="B95" s="969"/>
      <c r="C95" s="927" t="s">
        <v>464</v>
      </c>
      <c r="D95" s="964"/>
      <c r="E95" s="970"/>
      <c r="F95" s="964"/>
      <c r="G95" s="964"/>
      <c r="H95" s="964"/>
      <c r="I95" s="971"/>
      <c r="J95" s="964"/>
      <c r="K95" s="229"/>
      <c r="L95" s="229"/>
    </row>
    <row r="96" spans="1:12" ht="16.5" thickBot="1" x14ac:dyDescent="0.25">
      <c r="A96" s="229"/>
      <c r="B96" s="969"/>
      <c r="C96" s="964"/>
      <c r="D96" s="964"/>
      <c r="E96" s="964"/>
      <c r="F96" s="964"/>
      <c r="G96" s="964"/>
      <c r="H96" s="964"/>
      <c r="I96" s="971"/>
      <c r="J96" s="964"/>
      <c r="K96" s="229"/>
      <c r="L96" s="229"/>
    </row>
    <row r="97" spans="1:12" ht="16.5" thickTop="1" x14ac:dyDescent="0.2">
      <c r="A97" s="229"/>
      <c r="B97" s="969"/>
      <c r="C97" s="972"/>
      <c r="D97" s="973"/>
      <c r="E97" s="973"/>
      <c r="F97" s="973"/>
      <c r="G97" s="974"/>
      <c r="H97" s="964"/>
      <c r="I97" s="971"/>
      <c r="J97" s="964"/>
      <c r="K97" s="229"/>
      <c r="L97" s="229"/>
    </row>
    <row r="98" spans="1:12" ht="15.75" x14ac:dyDescent="0.2">
      <c r="A98" s="229"/>
      <c r="B98" s="969"/>
      <c r="C98" s="975"/>
      <c r="D98" s="976"/>
      <c r="E98" s="979" t="s">
        <v>465</v>
      </c>
      <c r="F98" s="976"/>
      <c r="G98" s="978"/>
      <c r="H98" s="964"/>
      <c r="I98" s="971"/>
      <c r="J98" s="964"/>
      <c r="K98" s="229"/>
      <c r="L98" s="229"/>
    </row>
    <row r="99" spans="1:12" ht="16.5" thickBot="1" x14ac:dyDescent="0.25">
      <c r="A99" s="229"/>
      <c r="B99" s="969"/>
      <c r="C99" s="980"/>
      <c r="D99" s="981"/>
      <c r="E99" s="981"/>
      <c r="F99" s="981"/>
      <c r="G99" s="982"/>
      <c r="H99" s="964"/>
      <c r="I99" s="971"/>
      <c r="J99" s="964"/>
      <c r="K99" s="229"/>
      <c r="L99" s="229"/>
    </row>
    <row r="100" spans="1:12" ht="16.5" thickTop="1" x14ac:dyDescent="0.2">
      <c r="A100" s="229"/>
      <c r="B100" s="969"/>
      <c r="C100" s="964"/>
      <c r="D100" s="964"/>
      <c r="E100" s="964"/>
      <c r="F100" s="964"/>
      <c r="G100" s="964"/>
      <c r="H100" s="964"/>
      <c r="I100" s="971"/>
      <c r="J100" s="964"/>
      <c r="K100" s="229"/>
      <c r="L100" s="229"/>
    </row>
    <row r="101" spans="1:12" ht="15.75" x14ac:dyDescent="0.2">
      <c r="A101" s="229"/>
      <c r="B101" s="969"/>
      <c r="C101" s="964"/>
      <c r="D101" s="964"/>
      <c r="E101" s="964">
        <v>365</v>
      </c>
      <c r="F101" s="964" t="s">
        <v>387</v>
      </c>
      <c r="G101" s="964"/>
      <c r="H101" s="964"/>
      <c r="I101" s="971"/>
      <c r="J101" s="964"/>
      <c r="K101" s="229"/>
      <c r="L101" s="229"/>
    </row>
    <row r="102" spans="1:12" ht="15.75" x14ac:dyDescent="0.2">
      <c r="A102" s="229"/>
      <c r="B102" s="969"/>
      <c r="C102" s="964"/>
      <c r="D102" s="964"/>
      <c r="E102" s="983" t="s">
        <v>388</v>
      </c>
      <c r="F102" s="964"/>
      <c r="G102" s="964"/>
      <c r="H102" s="964"/>
      <c r="I102" s="971"/>
      <c r="J102" s="964"/>
      <c r="K102" s="229"/>
      <c r="L102" s="229"/>
    </row>
    <row r="103" spans="1:12" ht="15.75" x14ac:dyDescent="0.2">
      <c r="A103" s="229"/>
      <c r="B103" s="969"/>
      <c r="C103" s="964"/>
      <c r="D103" s="964"/>
      <c r="E103" s="964">
        <v>104</v>
      </c>
      <c r="F103" s="964" t="s">
        <v>414</v>
      </c>
      <c r="G103" s="964"/>
      <c r="H103" s="964"/>
      <c r="I103" s="971"/>
      <c r="J103" s="964"/>
      <c r="K103" s="229"/>
      <c r="L103" s="229"/>
    </row>
    <row r="104" spans="1:12" ht="15.75" x14ac:dyDescent="0.2">
      <c r="A104" s="229"/>
      <c r="B104" s="969"/>
      <c r="C104" s="964"/>
      <c r="D104" s="964"/>
      <c r="E104" s="983" t="s">
        <v>388</v>
      </c>
      <c r="F104" s="964"/>
      <c r="G104" s="964"/>
      <c r="H104" s="964"/>
      <c r="I104" s="971"/>
      <c r="J104" s="964"/>
      <c r="K104" s="229"/>
      <c r="L104" s="229"/>
    </row>
    <row r="105" spans="1:12" ht="15.75" x14ac:dyDescent="0.2">
      <c r="A105" s="229"/>
      <c r="B105" s="969"/>
      <c r="C105" s="964"/>
      <c r="D105" s="964"/>
      <c r="E105" s="964">
        <v>32</v>
      </c>
      <c r="F105" s="964" t="s">
        <v>466</v>
      </c>
      <c r="G105" s="964"/>
      <c r="H105" s="964"/>
      <c r="I105" s="971"/>
      <c r="J105" s="964"/>
      <c r="K105" s="229"/>
      <c r="L105" s="229"/>
    </row>
    <row r="106" spans="1:12" ht="15.75" x14ac:dyDescent="0.2">
      <c r="A106" s="229"/>
      <c r="B106" s="969"/>
      <c r="C106" s="964"/>
      <c r="D106" s="964"/>
      <c r="E106" s="983" t="s">
        <v>388</v>
      </c>
      <c r="F106" s="964"/>
      <c r="G106" s="964"/>
      <c r="H106" s="964"/>
      <c r="I106" s="971"/>
      <c r="J106" s="964"/>
      <c r="K106" s="229"/>
      <c r="L106" s="229"/>
    </row>
    <row r="107" spans="1:12" ht="15.75" x14ac:dyDescent="0.2">
      <c r="A107" s="229"/>
      <c r="B107" s="969"/>
      <c r="C107" s="964"/>
      <c r="D107" s="964"/>
      <c r="E107" s="983">
        <v>15</v>
      </c>
      <c r="F107" s="964" t="s">
        <v>467</v>
      </c>
      <c r="G107" s="964"/>
      <c r="H107" s="964"/>
      <c r="I107" s="971"/>
      <c r="J107" s="964"/>
      <c r="K107" s="229"/>
      <c r="L107" s="229"/>
    </row>
    <row r="108" spans="1:12" ht="15.75" x14ac:dyDescent="0.2">
      <c r="A108" s="229"/>
      <c r="B108" s="969"/>
      <c r="C108" s="964"/>
      <c r="D108" s="964"/>
      <c r="E108" s="991" t="s">
        <v>402</v>
      </c>
      <c r="F108" s="964"/>
      <c r="G108" s="964"/>
      <c r="H108" s="964"/>
      <c r="I108" s="971"/>
      <c r="J108" s="964"/>
      <c r="K108" s="229"/>
      <c r="L108" s="229"/>
    </row>
    <row r="109" spans="1:12" ht="15.75" x14ac:dyDescent="0.2">
      <c r="A109" s="229"/>
      <c r="B109" s="969"/>
      <c r="C109" s="964"/>
      <c r="D109" s="964"/>
      <c r="E109" s="964">
        <v>214</v>
      </c>
      <c r="F109" s="964" t="s">
        <v>468</v>
      </c>
      <c r="G109" s="964"/>
      <c r="H109" s="964"/>
      <c r="I109" s="971"/>
      <c r="J109" s="964"/>
      <c r="K109" s="229"/>
      <c r="L109" s="229"/>
    </row>
    <row r="110" spans="1:12" ht="15.75" x14ac:dyDescent="0.2">
      <c r="A110" s="229"/>
      <c r="B110" s="969"/>
      <c r="C110" s="964"/>
      <c r="D110" s="964"/>
      <c r="E110" s="964"/>
      <c r="F110" s="964"/>
      <c r="G110" s="964"/>
      <c r="H110" s="964"/>
      <c r="I110" s="971"/>
      <c r="J110" s="964"/>
      <c r="K110" s="229"/>
      <c r="L110" s="229"/>
    </row>
    <row r="111" spans="1:12" ht="15.75" x14ac:dyDescent="0.2">
      <c r="A111" s="229"/>
      <c r="B111" s="969"/>
      <c r="C111" s="964"/>
      <c r="D111" s="965"/>
      <c r="E111" s="992"/>
      <c r="F111" s="992" t="s">
        <v>460</v>
      </c>
      <c r="G111" s="968"/>
      <c r="H111" s="964"/>
      <c r="I111" s="971"/>
      <c r="J111" s="964"/>
      <c r="K111" s="229"/>
      <c r="L111" s="229"/>
    </row>
    <row r="112" spans="1:12" ht="15.75" x14ac:dyDescent="0.2">
      <c r="A112" s="229"/>
      <c r="B112" s="969"/>
      <c r="C112" s="964"/>
      <c r="D112" s="969"/>
      <c r="E112" s="984" t="s">
        <v>469</v>
      </c>
      <c r="F112" s="993" t="s">
        <v>402</v>
      </c>
      <c r="G112" s="994">
        <f>365-104</f>
        <v>261</v>
      </c>
      <c r="H112" s="964"/>
      <c r="I112" s="971"/>
      <c r="J112" s="964"/>
      <c r="K112" s="229"/>
      <c r="L112" s="229"/>
    </row>
    <row r="113" spans="1:12" ht="15.75" x14ac:dyDescent="0.2">
      <c r="A113" s="229"/>
      <c r="B113" s="969"/>
      <c r="C113" s="964"/>
      <c r="D113" s="969"/>
      <c r="E113" s="984" t="s">
        <v>470</v>
      </c>
      <c r="F113" s="993" t="s">
        <v>402</v>
      </c>
      <c r="G113" s="994">
        <f>261-32</f>
        <v>229</v>
      </c>
      <c r="H113" s="964"/>
      <c r="I113" s="971"/>
      <c r="J113" s="964"/>
      <c r="K113" s="229"/>
      <c r="L113" s="229"/>
    </row>
    <row r="114" spans="1:12" ht="15.75" x14ac:dyDescent="0.2">
      <c r="A114" s="229"/>
      <c r="B114" s="969"/>
      <c r="C114" s="964"/>
      <c r="D114" s="988"/>
      <c r="E114" s="995" t="s">
        <v>471</v>
      </c>
      <c r="F114" s="996" t="s">
        <v>402</v>
      </c>
      <c r="G114" s="997">
        <f>229-15</f>
        <v>214</v>
      </c>
      <c r="H114" s="964"/>
      <c r="I114" s="971"/>
      <c r="J114" s="964"/>
      <c r="K114" s="229"/>
      <c r="L114" s="229"/>
    </row>
    <row r="115" spans="1:12" ht="15.75" x14ac:dyDescent="0.2">
      <c r="A115" s="229"/>
      <c r="B115" s="969"/>
      <c r="C115" s="964"/>
      <c r="D115" s="964"/>
      <c r="E115" s="984"/>
      <c r="F115" s="993"/>
      <c r="G115" s="985"/>
      <c r="H115" s="964"/>
      <c r="I115" s="971"/>
      <c r="J115" s="964"/>
      <c r="K115" s="229"/>
      <c r="L115" s="229"/>
    </row>
    <row r="116" spans="1:12" ht="15.75" x14ac:dyDescent="0.2">
      <c r="A116" s="229"/>
      <c r="B116" s="969"/>
      <c r="C116" s="927" t="s">
        <v>472</v>
      </c>
      <c r="D116" s="964"/>
      <c r="E116" s="970"/>
      <c r="F116" s="964"/>
      <c r="G116" s="964"/>
      <c r="H116" s="964"/>
      <c r="I116" s="971"/>
      <c r="J116" s="964"/>
      <c r="K116" s="229"/>
      <c r="L116" s="229"/>
    </row>
    <row r="117" spans="1:12" ht="15.75" x14ac:dyDescent="0.2">
      <c r="A117" s="229"/>
      <c r="B117" s="969"/>
      <c r="C117" s="964"/>
      <c r="D117" s="964"/>
      <c r="E117" s="984"/>
      <c r="F117" s="964"/>
      <c r="G117" s="985"/>
      <c r="H117" s="964"/>
      <c r="I117" s="971"/>
      <c r="J117" s="964"/>
      <c r="K117" s="229"/>
      <c r="L117" s="229"/>
    </row>
    <row r="118" spans="1:12" ht="15.75" x14ac:dyDescent="0.2">
      <c r="A118" s="229"/>
      <c r="B118" s="969"/>
      <c r="C118" s="964"/>
      <c r="D118" s="965"/>
      <c r="E118" s="992"/>
      <c r="F118" s="992" t="s">
        <v>460</v>
      </c>
      <c r="G118" s="968"/>
      <c r="H118" s="964"/>
      <c r="I118" s="971"/>
      <c r="J118" s="964"/>
      <c r="K118" s="229"/>
      <c r="L118" s="229"/>
    </row>
    <row r="119" spans="1:12" ht="15.75" x14ac:dyDescent="0.2">
      <c r="A119" s="229"/>
      <c r="B119" s="969"/>
      <c r="C119" s="964"/>
      <c r="D119" s="969"/>
      <c r="E119" s="984" t="s">
        <v>473</v>
      </c>
      <c r="F119" s="984"/>
      <c r="G119" s="971"/>
      <c r="H119" s="964"/>
      <c r="I119" s="971"/>
      <c r="J119" s="964"/>
      <c r="K119" s="229"/>
      <c r="L119" s="229"/>
    </row>
    <row r="120" spans="1:12" ht="15.75" x14ac:dyDescent="0.2">
      <c r="A120" s="229"/>
      <c r="B120" s="969"/>
      <c r="C120" s="964"/>
      <c r="D120" s="969"/>
      <c r="E120" s="1000">
        <v>420</v>
      </c>
      <c r="F120" s="1699" t="s">
        <v>402</v>
      </c>
      <c r="G120" s="1706">
        <v>1.96</v>
      </c>
      <c r="H120" s="964"/>
      <c r="I120" s="971"/>
      <c r="J120" s="964"/>
      <c r="K120" s="229"/>
      <c r="L120" s="229"/>
    </row>
    <row r="121" spans="1:12" ht="15.75" x14ac:dyDescent="0.2">
      <c r="A121" s="229"/>
      <c r="B121" s="969"/>
      <c r="C121" s="964"/>
      <c r="D121" s="969"/>
      <c r="E121" s="1001">
        <v>214</v>
      </c>
      <c r="F121" s="1699"/>
      <c r="G121" s="1706"/>
      <c r="H121" s="964"/>
      <c r="I121" s="971"/>
      <c r="J121" s="964"/>
      <c r="K121" s="229"/>
      <c r="L121" s="229"/>
    </row>
    <row r="122" spans="1:12" ht="15.75" x14ac:dyDescent="0.2">
      <c r="A122" s="229"/>
      <c r="B122" s="969"/>
      <c r="C122" s="964"/>
      <c r="D122" s="988" t="s">
        <v>474</v>
      </c>
      <c r="E122" s="995"/>
      <c r="F122" s="996"/>
      <c r="G122" s="997"/>
      <c r="H122" s="964"/>
      <c r="I122" s="971"/>
      <c r="J122" s="964"/>
      <c r="K122" s="229"/>
      <c r="L122" s="229"/>
    </row>
    <row r="123" spans="1:12" ht="15.75" x14ac:dyDescent="0.2">
      <c r="A123" s="229"/>
      <c r="B123" s="969"/>
      <c r="C123" s="964"/>
      <c r="D123" s="964"/>
      <c r="E123" s="984"/>
      <c r="F123" s="964"/>
      <c r="G123" s="985"/>
      <c r="H123" s="964"/>
      <c r="I123" s="971"/>
      <c r="J123" s="964"/>
      <c r="K123" s="229"/>
      <c r="L123" s="229"/>
    </row>
    <row r="124" spans="1:12" ht="15.75" x14ac:dyDescent="0.2">
      <c r="A124" s="229"/>
      <c r="B124" s="988"/>
      <c r="C124" s="989"/>
      <c r="D124" s="989"/>
      <c r="E124" s="989"/>
      <c r="F124" s="989"/>
      <c r="G124" s="989"/>
      <c r="H124" s="989"/>
      <c r="I124" s="998" t="s">
        <v>475</v>
      </c>
      <c r="J124" s="964"/>
      <c r="K124" s="229"/>
      <c r="L124" s="229"/>
    </row>
    <row r="125" spans="1:12" ht="15.75" x14ac:dyDescent="0.2">
      <c r="A125" s="229"/>
      <c r="B125" s="964"/>
      <c r="C125" s="964"/>
      <c r="D125" s="964"/>
      <c r="E125" s="964"/>
      <c r="F125" s="964"/>
      <c r="G125" s="964"/>
      <c r="H125" s="964"/>
      <c r="I125" s="964"/>
      <c r="J125" s="964"/>
      <c r="K125" s="229"/>
      <c r="L125" s="229"/>
    </row>
    <row r="126" spans="1:12" ht="15.75" x14ac:dyDescent="0.2">
      <c r="A126" s="229"/>
      <c r="B126" s="1700" t="s">
        <v>476</v>
      </c>
      <c r="C126" s="1701"/>
      <c r="D126" s="1701"/>
      <c r="E126" s="1701"/>
      <c r="F126" s="1701"/>
      <c r="G126" s="1701"/>
      <c r="H126" s="1701"/>
      <c r="I126" s="1702"/>
      <c r="J126" s="964"/>
      <c r="K126" s="229"/>
      <c r="L126" s="229"/>
    </row>
    <row r="127" spans="1:12" ht="15.75" x14ac:dyDescent="0.2">
      <c r="A127" s="229"/>
      <c r="B127" s="969"/>
      <c r="C127" s="927"/>
      <c r="D127" s="964"/>
      <c r="E127" s="970"/>
      <c r="F127" s="964"/>
      <c r="G127" s="964"/>
      <c r="H127" s="964"/>
      <c r="I127" s="971"/>
      <c r="J127" s="964"/>
      <c r="K127" s="229"/>
      <c r="L127" s="229"/>
    </row>
    <row r="128" spans="1:12" ht="15.75" x14ac:dyDescent="0.2">
      <c r="A128" s="229"/>
      <c r="B128" s="969"/>
      <c r="C128" s="927" t="s">
        <v>477</v>
      </c>
      <c r="D128" s="964"/>
      <c r="E128" s="970"/>
      <c r="F128" s="964"/>
      <c r="G128" s="964"/>
      <c r="H128" s="964"/>
      <c r="I128" s="971"/>
      <c r="J128" s="964"/>
      <c r="K128" s="229"/>
      <c r="L128" s="229"/>
    </row>
    <row r="129" spans="1:12" ht="15.75" x14ac:dyDescent="0.2">
      <c r="A129" s="229"/>
      <c r="B129" s="969"/>
      <c r="C129" s="964"/>
      <c r="D129" s="964"/>
      <c r="E129" s="964">
        <v>30</v>
      </c>
      <c r="F129" s="964" t="s">
        <v>389</v>
      </c>
      <c r="G129" s="964"/>
      <c r="H129" s="964"/>
      <c r="I129" s="971"/>
      <c r="J129" s="964"/>
      <c r="K129" s="229"/>
      <c r="L129" s="229"/>
    </row>
    <row r="130" spans="1:12" ht="15.75" x14ac:dyDescent="0.2">
      <c r="A130" s="229"/>
      <c r="B130" s="969"/>
      <c r="C130" s="964"/>
      <c r="D130" s="964"/>
      <c r="E130" s="983" t="s">
        <v>413</v>
      </c>
      <c r="F130" s="964">
        <v>5</v>
      </c>
      <c r="G130" s="964" t="s">
        <v>478</v>
      </c>
      <c r="H130" s="964"/>
      <c r="I130" s="971"/>
      <c r="J130" s="964"/>
      <c r="K130" s="229"/>
      <c r="L130" s="229"/>
    </row>
    <row r="131" spans="1:12" ht="15.75" x14ac:dyDescent="0.2">
      <c r="A131" s="229"/>
      <c r="B131" s="969"/>
      <c r="C131" s="964"/>
      <c r="D131" s="964"/>
      <c r="E131" s="991" t="s">
        <v>402</v>
      </c>
      <c r="F131" s="964">
        <v>150</v>
      </c>
      <c r="G131" s="964" t="s">
        <v>478</v>
      </c>
      <c r="H131" s="964"/>
      <c r="I131" s="971"/>
      <c r="J131" s="964"/>
      <c r="K131" s="229"/>
      <c r="L131" s="229"/>
    </row>
    <row r="132" spans="1:12" ht="15.75" x14ac:dyDescent="0.2">
      <c r="A132" s="229"/>
      <c r="B132" s="969"/>
      <c r="C132" s="964"/>
      <c r="D132" s="964"/>
      <c r="E132" s="1002" t="s">
        <v>479</v>
      </c>
      <c r="F132" s="983">
        <v>214</v>
      </c>
      <c r="G132" s="964"/>
      <c r="H132" s="964"/>
      <c r="I132" s="971"/>
      <c r="J132" s="964"/>
      <c r="K132" s="229"/>
      <c r="L132" s="229"/>
    </row>
    <row r="133" spans="1:12" ht="15.75" x14ac:dyDescent="0.2">
      <c r="A133" s="229"/>
      <c r="B133" s="969"/>
      <c r="C133" s="964"/>
      <c r="D133" s="964"/>
      <c r="E133" s="991" t="s">
        <v>402</v>
      </c>
      <c r="F133" s="964">
        <v>0.7</v>
      </c>
      <c r="G133" s="986" t="s">
        <v>480</v>
      </c>
      <c r="H133" s="964"/>
      <c r="I133" s="971"/>
      <c r="J133" s="964"/>
      <c r="K133" s="229"/>
      <c r="L133" s="229"/>
    </row>
    <row r="134" spans="1:12" ht="15.75" x14ac:dyDescent="0.2">
      <c r="A134" s="229"/>
      <c r="B134" s="969"/>
      <c r="C134" s="964"/>
      <c r="D134" s="964"/>
      <c r="E134" s="964"/>
      <c r="F134" s="964"/>
      <c r="G134" s="964"/>
      <c r="H134" s="964"/>
      <c r="I134" s="971"/>
      <c r="J134" s="964"/>
      <c r="K134" s="229"/>
      <c r="L134" s="229"/>
    </row>
    <row r="135" spans="1:12" ht="15.75" x14ac:dyDescent="0.2">
      <c r="A135" s="229"/>
      <c r="B135" s="969"/>
      <c r="C135" s="964"/>
      <c r="D135" s="965"/>
      <c r="E135" s="992"/>
      <c r="F135" s="992" t="s">
        <v>460</v>
      </c>
      <c r="G135" s="968"/>
      <c r="H135" s="964"/>
      <c r="I135" s="971"/>
      <c r="J135" s="964"/>
      <c r="K135" s="229"/>
      <c r="L135" s="229"/>
    </row>
    <row r="136" spans="1:12" ht="15.75" x14ac:dyDescent="0.2">
      <c r="A136" s="229"/>
      <c r="B136" s="969"/>
      <c r="C136" s="964"/>
      <c r="D136" s="969"/>
      <c r="E136" s="1002" t="s">
        <v>481</v>
      </c>
      <c r="F136" s="993" t="s">
        <v>402</v>
      </c>
      <c r="G136" s="994">
        <f>30*5</f>
        <v>150</v>
      </c>
      <c r="H136" s="964"/>
      <c r="I136" s="971"/>
      <c r="J136" s="964"/>
      <c r="K136" s="229"/>
      <c r="L136" s="229"/>
    </row>
    <row r="137" spans="1:12" ht="15.75" x14ac:dyDescent="0.2">
      <c r="A137" s="229"/>
      <c r="B137" s="969"/>
      <c r="C137" s="964"/>
      <c r="D137" s="969"/>
      <c r="E137" s="1002" t="s">
        <v>482</v>
      </c>
      <c r="F137" s="993" t="s">
        <v>402</v>
      </c>
      <c r="G137" s="994">
        <f>150/214</f>
        <v>0.7009345794392523</v>
      </c>
      <c r="H137" s="964"/>
      <c r="I137" s="971"/>
      <c r="J137" s="964"/>
      <c r="K137" s="229"/>
      <c r="L137" s="229"/>
    </row>
    <row r="138" spans="1:12" ht="15.75" x14ac:dyDescent="0.2">
      <c r="A138" s="229"/>
      <c r="B138" s="969"/>
      <c r="C138" s="964"/>
      <c r="D138" s="969"/>
      <c r="E138" s="1002" t="s">
        <v>483</v>
      </c>
      <c r="F138" s="993">
        <f>(30*5)/214</f>
        <v>0.7009345794392523</v>
      </c>
      <c r="G138" s="994"/>
      <c r="H138" s="964"/>
      <c r="I138" s="971"/>
      <c r="J138" s="964"/>
      <c r="K138" s="229"/>
      <c r="L138" s="229"/>
    </row>
    <row r="139" spans="1:12" ht="15.75" x14ac:dyDescent="0.2">
      <c r="A139" s="229"/>
      <c r="B139" s="969"/>
      <c r="C139" s="964"/>
      <c r="D139" s="988"/>
      <c r="E139" s="995"/>
      <c r="F139" s="996"/>
      <c r="G139" s="997"/>
      <c r="H139" s="964"/>
      <c r="I139" s="971"/>
      <c r="J139" s="964"/>
      <c r="K139" s="229"/>
      <c r="L139" s="229"/>
    </row>
    <row r="140" spans="1:12" ht="15.75" x14ac:dyDescent="0.2">
      <c r="A140" s="229"/>
      <c r="B140" s="969"/>
      <c r="C140" s="964"/>
      <c r="D140" s="964"/>
      <c r="E140" s="984"/>
      <c r="F140" s="993"/>
      <c r="G140" s="985"/>
      <c r="H140" s="964"/>
      <c r="I140" s="971"/>
      <c r="J140" s="964"/>
      <c r="K140" s="229"/>
      <c r="L140" s="229"/>
    </row>
    <row r="141" spans="1:12" ht="15.75" x14ac:dyDescent="0.2">
      <c r="A141" s="229"/>
      <c r="B141" s="988"/>
      <c r="C141" s="989"/>
      <c r="D141" s="989"/>
      <c r="E141" s="989"/>
      <c r="F141" s="989"/>
      <c r="G141" s="989"/>
      <c r="H141" s="989"/>
      <c r="I141" s="998" t="s">
        <v>484</v>
      </c>
      <c r="J141" s="964"/>
      <c r="K141" s="229"/>
      <c r="L141" s="229"/>
    </row>
    <row r="142" spans="1:12" ht="15.75" x14ac:dyDescent="0.2">
      <c r="A142" s="229"/>
      <c r="B142" s="964"/>
      <c r="C142" s="964"/>
      <c r="D142" s="964"/>
      <c r="E142" s="964"/>
      <c r="F142" s="964"/>
      <c r="G142" s="964"/>
      <c r="H142" s="964"/>
      <c r="I142" s="964"/>
      <c r="J142" s="964"/>
      <c r="K142" s="229"/>
      <c r="L142" s="229"/>
    </row>
    <row r="143" spans="1:12" ht="15.75" x14ac:dyDescent="0.2">
      <c r="A143" s="229"/>
      <c r="B143" s="965"/>
      <c r="C143" s="966"/>
      <c r="D143" s="966"/>
      <c r="E143" s="999" t="s">
        <v>485</v>
      </c>
      <c r="F143" s="966"/>
      <c r="G143" s="966"/>
      <c r="H143" s="966"/>
      <c r="I143" s="968"/>
      <c r="J143" s="964"/>
      <c r="K143" s="229"/>
      <c r="L143" s="229"/>
    </row>
    <row r="144" spans="1:12" ht="15.75" x14ac:dyDescent="0.2">
      <c r="A144" s="229"/>
      <c r="B144" s="969"/>
      <c r="C144" s="927" t="s">
        <v>477</v>
      </c>
      <c r="D144" s="964"/>
      <c r="E144" s="970"/>
      <c r="F144" s="964"/>
      <c r="G144" s="964"/>
      <c r="H144" s="964"/>
      <c r="I144" s="971"/>
      <c r="J144" s="964"/>
      <c r="K144" s="229"/>
      <c r="L144" s="229"/>
    </row>
    <row r="145" spans="1:12" ht="15.75" x14ac:dyDescent="0.2">
      <c r="A145" s="229"/>
      <c r="B145" s="969"/>
      <c r="C145" s="927"/>
      <c r="D145" s="964"/>
      <c r="E145" s="970"/>
      <c r="F145" s="964"/>
      <c r="G145" s="964"/>
      <c r="H145" s="964"/>
      <c r="I145" s="971"/>
      <c r="J145" s="964"/>
      <c r="K145" s="229"/>
      <c r="L145" s="229"/>
    </row>
    <row r="146" spans="1:12" ht="15.75" x14ac:dyDescent="0.2">
      <c r="A146" s="229"/>
      <c r="B146" s="1703" t="s">
        <v>476</v>
      </c>
      <c r="C146" s="1704"/>
      <c r="D146" s="1704"/>
      <c r="E146" s="1704"/>
      <c r="F146" s="1704"/>
      <c r="G146" s="1704"/>
      <c r="H146" s="1704"/>
      <c r="I146" s="1705"/>
      <c r="J146" s="964"/>
      <c r="K146" s="229"/>
      <c r="L146" s="229"/>
    </row>
    <row r="147" spans="1:12" ht="15.75" x14ac:dyDescent="0.2">
      <c r="A147" s="229"/>
      <c r="B147" s="969"/>
      <c r="C147" s="927"/>
      <c r="D147" s="964"/>
      <c r="E147" s="970"/>
      <c r="F147" s="964"/>
      <c r="G147" s="964"/>
      <c r="H147" s="964"/>
      <c r="I147" s="971"/>
      <c r="J147" s="964"/>
      <c r="K147" s="229"/>
      <c r="L147" s="229"/>
    </row>
    <row r="148" spans="1:12" ht="15.75" x14ac:dyDescent="0.2">
      <c r="A148" s="229"/>
      <c r="B148" s="969"/>
      <c r="C148" s="964"/>
      <c r="D148" s="964"/>
      <c r="E148" s="964"/>
      <c r="F148" s="964"/>
      <c r="G148" s="964"/>
      <c r="H148" s="964"/>
      <c r="I148" s="971"/>
      <c r="J148" s="964"/>
      <c r="K148" s="229"/>
      <c r="L148" s="229"/>
    </row>
    <row r="149" spans="1:12" ht="15.75" x14ac:dyDescent="0.2">
      <c r="A149" s="229"/>
      <c r="B149" s="969"/>
      <c r="C149" s="965"/>
      <c r="D149" s="1003"/>
      <c r="E149" s="1003"/>
      <c r="F149" s="1003"/>
      <c r="G149" s="968"/>
      <c r="H149" s="964"/>
      <c r="I149" s="971"/>
      <c r="J149" s="964"/>
      <c r="K149" s="229"/>
      <c r="L149" s="229"/>
    </row>
    <row r="150" spans="1:12" ht="15.75" x14ac:dyDescent="0.2">
      <c r="A150" s="229"/>
      <c r="B150" s="969"/>
      <c r="C150" s="969"/>
      <c r="D150" s="979" t="s">
        <v>486</v>
      </c>
      <c r="E150" s="979"/>
      <c r="F150" s="976"/>
      <c r="G150" s="971"/>
      <c r="H150" s="964"/>
      <c r="I150" s="971"/>
      <c r="J150" s="964"/>
      <c r="K150" s="229"/>
      <c r="L150" s="229"/>
    </row>
    <row r="151" spans="1:12" ht="15.75" x14ac:dyDescent="0.2">
      <c r="A151" s="229"/>
      <c r="B151" s="969"/>
      <c r="C151" s="969"/>
      <c r="D151" s="976"/>
      <c r="E151" s="977" t="s">
        <v>487</v>
      </c>
      <c r="F151" s="1699" t="s">
        <v>402</v>
      </c>
      <c r="G151" s="1706">
        <v>0.7</v>
      </c>
      <c r="H151" s="964"/>
      <c r="I151" s="971"/>
      <c r="J151" s="964"/>
      <c r="K151" s="229"/>
      <c r="L151" s="229"/>
    </row>
    <row r="152" spans="1:12" ht="15.75" x14ac:dyDescent="0.2">
      <c r="A152" s="229"/>
      <c r="B152" s="969"/>
      <c r="C152" s="969"/>
      <c r="D152" s="976"/>
      <c r="E152" s="979">
        <v>214</v>
      </c>
      <c r="F152" s="1699"/>
      <c r="G152" s="1706"/>
      <c r="H152" s="964"/>
      <c r="I152" s="971"/>
      <c r="J152" s="964"/>
      <c r="K152" s="229"/>
      <c r="L152" s="229"/>
    </row>
    <row r="153" spans="1:12" ht="15.75" x14ac:dyDescent="0.2">
      <c r="A153" s="229"/>
      <c r="B153" s="969"/>
      <c r="C153" s="1004"/>
      <c r="D153" s="986" t="s">
        <v>480</v>
      </c>
      <c r="E153" s="1005"/>
      <c r="F153" s="976"/>
      <c r="G153" s="971"/>
      <c r="H153" s="964"/>
      <c r="I153" s="971"/>
      <c r="J153" s="964"/>
      <c r="K153" s="229"/>
      <c r="L153" s="229"/>
    </row>
    <row r="154" spans="1:12" ht="15.75" x14ac:dyDescent="0.2">
      <c r="A154" s="229"/>
      <c r="B154" s="969"/>
      <c r="C154" s="988"/>
      <c r="D154" s="1006"/>
      <c r="E154" s="1007"/>
      <c r="F154" s="1006"/>
      <c r="G154" s="990"/>
      <c r="H154" s="964"/>
      <c r="I154" s="971"/>
      <c r="J154" s="964"/>
      <c r="K154" s="229"/>
      <c r="L154" s="229"/>
    </row>
    <row r="155" spans="1:12" ht="15.75" x14ac:dyDescent="0.2">
      <c r="A155" s="229"/>
      <c r="B155" s="969"/>
      <c r="C155" s="964"/>
      <c r="D155" s="976"/>
      <c r="E155" s="979"/>
      <c r="F155" s="976"/>
      <c r="G155" s="964"/>
      <c r="H155" s="964"/>
      <c r="I155" s="971"/>
      <c r="J155" s="964"/>
      <c r="K155" s="229"/>
      <c r="L155" s="229"/>
    </row>
    <row r="156" spans="1:12" ht="15.75" x14ac:dyDescent="0.2">
      <c r="A156" s="229"/>
      <c r="B156" s="969"/>
      <c r="C156" s="964"/>
      <c r="D156" s="964"/>
      <c r="E156" s="964">
        <v>30</v>
      </c>
      <c r="F156" s="964" t="s">
        <v>389</v>
      </c>
      <c r="G156" s="964"/>
      <c r="H156" s="964"/>
      <c r="I156" s="971"/>
      <c r="J156" s="964"/>
      <c r="K156" s="229"/>
      <c r="L156" s="229"/>
    </row>
    <row r="157" spans="1:12" ht="15.75" x14ac:dyDescent="0.2">
      <c r="A157" s="229"/>
      <c r="B157" s="969"/>
      <c r="C157" s="964"/>
      <c r="D157" s="964"/>
      <c r="E157" s="983" t="s">
        <v>413</v>
      </c>
      <c r="F157" s="964">
        <v>5</v>
      </c>
      <c r="G157" s="964" t="s">
        <v>478</v>
      </c>
      <c r="H157" s="964"/>
      <c r="I157" s="971"/>
      <c r="J157" s="964"/>
      <c r="K157" s="229"/>
      <c r="L157" s="229"/>
    </row>
    <row r="158" spans="1:12" ht="15.75" x14ac:dyDescent="0.2">
      <c r="A158" s="229"/>
      <c r="B158" s="969"/>
      <c r="C158" s="964"/>
      <c r="D158" s="964"/>
      <c r="E158" s="991" t="s">
        <v>402</v>
      </c>
      <c r="F158" s="964">
        <v>150</v>
      </c>
      <c r="G158" s="964" t="s">
        <v>478</v>
      </c>
      <c r="H158" s="964"/>
      <c r="I158" s="971"/>
      <c r="J158" s="964"/>
      <c r="K158" s="229"/>
      <c r="L158" s="229"/>
    </row>
    <row r="159" spans="1:12" ht="15.75" x14ac:dyDescent="0.2">
      <c r="A159" s="229"/>
      <c r="B159" s="969"/>
      <c r="C159" s="964"/>
      <c r="D159" s="964"/>
      <c r="E159" s="1002" t="s">
        <v>479</v>
      </c>
      <c r="F159" s="983">
        <v>214</v>
      </c>
      <c r="G159" s="964"/>
      <c r="H159" s="964"/>
      <c r="I159" s="971"/>
      <c r="J159" s="964"/>
      <c r="K159" s="229"/>
      <c r="L159" s="229"/>
    </row>
    <row r="160" spans="1:12" ht="15.75" x14ac:dyDescent="0.2">
      <c r="A160" s="229"/>
      <c r="B160" s="969"/>
      <c r="C160" s="964"/>
      <c r="D160" s="964"/>
      <c r="E160" s="991" t="s">
        <v>402</v>
      </c>
      <c r="F160" s="964">
        <v>0.7</v>
      </c>
      <c r="G160" s="986" t="s">
        <v>480</v>
      </c>
      <c r="H160" s="964"/>
      <c r="I160" s="971"/>
      <c r="J160" s="964"/>
      <c r="K160" s="229"/>
      <c r="L160" s="229"/>
    </row>
    <row r="161" spans="1:12" ht="15.75" x14ac:dyDescent="0.2">
      <c r="A161" s="229"/>
      <c r="B161" s="969"/>
      <c r="C161" s="964"/>
      <c r="D161" s="964"/>
      <c r="E161" s="964"/>
      <c r="F161" s="964"/>
      <c r="G161" s="964"/>
      <c r="H161" s="964"/>
      <c r="I161" s="971"/>
      <c r="J161" s="964"/>
      <c r="K161" s="229"/>
      <c r="L161" s="229"/>
    </row>
    <row r="162" spans="1:12" ht="15.75" x14ac:dyDescent="0.2">
      <c r="A162" s="229"/>
      <c r="B162" s="969"/>
      <c r="C162" s="964"/>
      <c r="D162" s="965"/>
      <c r="E162" s="992"/>
      <c r="F162" s="992" t="s">
        <v>460</v>
      </c>
      <c r="G162" s="968"/>
      <c r="H162" s="964"/>
      <c r="I162" s="971"/>
      <c r="J162" s="964"/>
      <c r="K162" s="229"/>
      <c r="L162" s="229"/>
    </row>
    <row r="163" spans="1:12" ht="15.75" x14ac:dyDescent="0.2">
      <c r="A163" s="229"/>
      <c r="B163" s="969"/>
      <c r="C163" s="964"/>
      <c r="D163" s="969"/>
      <c r="E163" s="984" t="s">
        <v>469</v>
      </c>
      <c r="F163" s="993" t="s">
        <v>402</v>
      </c>
      <c r="G163" s="994">
        <f>365-104</f>
        <v>261</v>
      </c>
      <c r="H163" s="964"/>
      <c r="I163" s="971"/>
      <c r="J163" s="964"/>
      <c r="K163" s="229"/>
      <c r="L163" s="229"/>
    </row>
    <row r="164" spans="1:12" ht="15.75" x14ac:dyDescent="0.2">
      <c r="A164" s="229"/>
      <c r="B164" s="969"/>
      <c r="C164" s="964"/>
      <c r="D164" s="969"/>
      <c r="E164" s="984" t="s">
        <v>470</v>
      </c>
      <c r="F164" s="993" t="s">
        <v>402</v>
      </c>
      <c r="G164" s="994">
        <f>261-32</f>
        <v>229</v>
      </c>
      <c r="H164" s="964"/>
      <c r="I164" s="971"/>
      <c r="J164" s="964"/>
      <c r="K164" s="229"/>
      <c r="L164" s="229"/>
    </row>
    <row r="165" spans="1:12" ht="15.75" x14ac:dyDescent="0.2">
      <c r="A165" s="229"/>
      <c r="B165" s="969"/>
      <c r="C165" s="964"/>
      <c r="D165" s="988"/>
      <c r="E165" s="995" t="s">
        <v>471</v>
      </c>
      <c r="F165" s="996" t="s">
        <v>402</v>
      </c>
      <c r="G165" s="997">
        <f>229-15</f>
        <v>214</v>
      </c>
      <c r="H165" s="964"/>
      <c r="I165" s="971"/>
      <c r="J165" s="964"/>
      <c r="K165" s="229"/>
      <c r="L165" s="229"/>
    </row>
    <row r="166" spans="1:12" ht="15.75" x14ac:dyDescent="0.2">
      <c r="A166" s="229"/>
      <c r="B166" s="969"/>
      <c r="C166" s="964"/>
      <c r="D166" s="964"/>
      <c r="E166" s="984"/>
      <c r="F166" s="993"/>
      <c r="G166" s="985"/>
      <c r="H166" s="964"/>
      <c r="I166" s="971"/>
      <c r="J166" s="964"/>
      <c r="K166" s="229"/>
      <c r="L166" s="229"/>
    </row>
    <row r="167" spans="1:12" ht="15.75" x14ac:dyDescent="0.2">
      <c r="A167" s="229"/>
      <c r="B167" s="969"/>
      <c r="C167" s="927" t="s">
        <v>472</v>
      </c>
      <c r="D167" s="964"/>
      <c r="E167" s="970"/>
      <c r="F167" s="964"/>
      <c r="G167" s="964"/>
      <c r="H167" s="964"/>
      <c r="I167" s="971"/>
      <c r="J167" s="964"/>
      <c r="K167" s="229"/>
      <c r="L167" s="229"/>
    </row>
    <row r="168" spans="1:12" ht="15.75" x14ac:dyDescent="0.2">
      <c r="A168" s="229"/>
      <c r="B168" s="969"/>
      <c r="C168" s="964"/>
      <c r="D168" s="964"/>
      <c r="E168" s="984"/>
      <c r="F168" s="964"/>
      <c r="G168" s="985"/>
      <c r="H168" s="964"/>
      <c r="I168" s="971"/>
      <c r="J168" s="964"/>
      <c r="K168" s="229"/>
      <c r="L168" s="229"/>
    </row>
    <row r="169" spans="1:12" ht="15.75" x14ac:dyDescent="0.2">
      <c r="A169" s="229"/>
      <c r="B169" s="969"/>
      <c r="C169" s="964"/>
      <c r="D169" s="965"/>
      <c r="E169" s="992"/>
      <c r="F169" s="992" t="s">
        <v>460</v>
      </c>
      <c r="G169" s="968"/>
      <c r="H169" s="964"/>
      <c r="I169" s="971"/>
      <c r="J169" s="964"/>
      <c r="K169" s="229"/>
      <c r="L169" s="229"/>
    </row>
    <row r="170" spans="1:12" ht="15.75" x14ac:dyDescent="0.2">
      <c r="A170" s="229"/>
      <c r="B170" s="969"/>
      <c r="C170" s="964"/>
      <c r="D170" s="969"/>
      <c r="E170" s="984" t="s">
        <v>473</v>
      </c>
      <c r="F170" s="984"/>
      <c r="G170" s="971"/>
      <c r="H170" s="964"/>
      <c r="I170" s="971"/>
      <c r="J170" s="964"/>
      <c r="K170" s="229"/>
      <c r="L170" s="229"/>
    </row>
    <row r="171" spans="1:12" ht="15.75" x14ac:dyDescent="0.2">
      <c r="A171" s="229"/>
      <c r="B171" s="969"/>
      <c r="C171" s="964"/>
      <c r="D171" s="969"/>
      <c r="E171" s="1000">
        <v>420</v>
      </c>
      <c r="F171" s="1699" t="s">
        <v>402</v>
      </c>
      <c r="G171" s="1706">
        <v>1.96</v>
      </c>
      <c r="H171" s="964"/>
      <c r="I171" s="971"/>
      <c r="J171" s="964"/>
      <c r="K171" s="229"/>
      <c r="L171" s="229"/>
    </row>
    <row r="172" spans="1:12" ht="15.75" x14ac:dyDescent="0.2">
      <c r="A172" s="229"/>
      <c r="B172" s="969"/>
      <c r="C172" s="964"/>
      <c r="D172" s="969"/>
      <c r="E172" s="1001">
        <v>214</v>
      </c>
      <c r="F172" s="1699"/>
      <c r="G172" s="1706"/>
      <c r="H172" s="964"/>
      <c r="I172" s="971"/>
      <c r="J172" s="964"/>
      <c r="K172" s="229"/>
      <c r="L172" s="229"/>
    </row>
    <row r="173" spans="1:12" ht="15.75" x14ac:dyDescent="0.2">
      <c r="A173" s="229"/>
      <c r="B173" s="969"/>
      <c r="C173" s="964"/>
      <c r="D173" s="988" t="s">
        <v>474</v>
      </c>
      <c r="E173" s="995"/>
      <c r="F173" s="996"/>
      <c r="G173" s="997"/>
      <c r="H173" s="964"/>
      <c r="I173" s="971"/>
      <c r="J173" s="964"/>
      <c r="K173" s="229"/>
      <c r="L173" s="229"/>
    </row>
    <row r="174" spans="1:12" ht="15.75" x14ac:dyDescent="0.2">
      <c r="A174" s="229"/>
      <c r="B174" s="969"/>
      <c r="C174" s="964"/>
      <c r="D174" s="964"/>
      <c r="E174" s="984"/>
      <c r="F174" s="964"/>
      <c r="G174" s="985"/>
      <c r="H174" s="964"/>
      <c r="I174" s="971"/>
      <c r="J174" s="964"/>
      <c r="K174" s="229"/>
      <c r="L174" s="229"/>
    </row>
    <row r="175" spans="1:12" ht="15.75" x14ac:dyDescent="0.2">
      <c r="A175" s="229"/>
      <c r="B175" s="988"/>
      <c r="C175" s="989"/>
      <c r="D175" s="989"/>
      <c r="E175" s="989"/>
      <c r="F175" s="989"/>
      <c r="G175" s="989"/>
      <c r="H175" s="989"/>
      <c r="I175" s="998" t="s">
        <v>475</v>
      </c>
      <c r="J175" s="964"/>
      <c r="K175" s="229"/>
      <c r="L175" s="229"/>
    </row>
    <row r="176" spans="1:12" ht="15.75" x14ac:dyDescent="0.2">
      <c r="A176" s="229"/>
      <c r="B176" s="964"/>
      <c r="C176" s="964"/>
      <c r="D176" s="964"/>
      <c r="E176" s="964"/>
      <c r="F176" s="964"/>
      <c r="G176" s="964"/>
      <c r="H176" s="964"/>
      <c r="I176" s="964"/>
      <c r="J176" s="964"/>
      <c r="K176" s="229"/>
      <c r="L176" s="229"/>
    </row>
    <row r="177" spans="1:12" ht="16.5" thickBot="1" x14ac:dyDescent="0.25">
      <c r="A177" s="229"/>
      <c r="B177" s="964"/>
      <c r="C177" s="964"/>
      <c r="D177" s="964"/>
      <c r="E177" s="964"/>
      <c r="F177" s="964"/>
      <c r="G177" s="964"/>
      <c r="H177" s="964"/>
      <c r="I177" s="964"/>
      <c r="J177" s="964"/>
      <c r="K177" s="229"/>
      <c r="L177" s="229"/>
    </row>
    <row r="178" spans="1:12" ht="15.75" x14ac:dyDescent="0.2">
      <c r="A178" s="229"/>
      <c r="B178" s="1709" t="s">
        <v>910</v>
      </c>
      <c r="C178" s="1710"/>
      <c r="D178" s="1710"/>
      <c r="E178" s="1710"/>
      <c r="F178" s="1710"/>
      <c r="G178" s="1710"/>
      <c r="H178" s="1710"/>
      <c r="I178" s="1710"/>
      <c r="J178" s="1711"/>
      <c r="K178" s="229"/>
      <c r="L178" s="229"/>
    </row>
    <row r="179" spans="1:12" ht="15.75" x14ac:dyDescent="0.2">
      <c r="A179" s="229"/>
      <c r="B179" s="1712" t="s">
        <v>379</v>
      </c>
      <c r="C179" s="1713"/>
      <c r="D179" s="1713"/>
      <c r="E179" s="1713"/>
      <c r="F179" s="1713"/>
      <c r="G179" s="1713"/>
      <c r="H179" s="1713"/>
      <c r="I179" s="1713"/>
      <c r="J179" s="1714"/>
      <c r="K179" s="229"/>
      <c r="L179" s="229"/>
    </row>
    <row r="180" spans="1:12" ht="15.75" x14ac:dyDescent="0.2">
      <c r="A180" s="229"/>
      <c r="B180" s="1692" t="s">
        <v>381</v>
      </c>
      <c r="C180" s="1693"/>
      <c r="D180" s="1693"/>
      <c r="E180" s="1693"/>
      <c r="F180" s="1693"/>
      <c r="G180" s="1693"/>
      <c r="H180" s="1693"/>
      <c r="I180" s="1693"/>
      <c r="J180" s="1694"/>
      <c r="K180" s="229"/>
      <c r="L180" s="229"/>
    </row>
    <row r="181" spans="1:12" ht="15.75" x14ac:dyDescent="0.2">
      <c r="A181" s="229"/>
      <c r="B181" s="928" t="s">
        <v>382</v>
      </c>
      <c r="C181" s="1008"/>
      <c r="D181" s="1008"/>
      <c r="E181" s="1008"/>
      <c r="F181" s="1008"/>
      <c r="G181" s="1008"/>
      <c r="H181" s="1008"/>
      <c r="I181" s="1008"/>
      <c r="J181" s="1009"/>
      <c r="K181" s="229"/>
      <c r="L181" s="229"/>
    </row>
    <row r="182" spans="1:12" ht="15.75" x14ac:dyDescent="0.2">
      <c r="A182" s="229"/>
      <c r="B182" s="1010"/>
      <c r="C182" s="1008"/>
      <c r="D182" s="1008"/>
      <c r="E182" s="1008"/>
      <c r="F182" s="1008"/>
      <c r="G182" s="1008"/>
      <c r="H182" s="1008"/>
      <c r="I182" s="1008"/>
      <c r="J182" s="1009"/>
      <c r="K182" s="229"/>
      <c r="L182" s="229"/>
    </row>
    <row r="183" spans="1:12" ht="15.75" x14ac:dyDescent="0.2">
      <c r="A183" s="229"/>
      <c r="B183" s="1010"/>
      <c r="C183" s="1008"/>
      <c r="D183" s="1008"/>
      <c r="E183" s="1011" t="s">
        <v>384</v>
      </c>
      <c r="F183" s="1011">
        <v>1600</v>
      </c>
      <c r="G183" s="1012" t="s">
        <v>385</v>
      </c>
      <c r="H183" s="1011"/>
      <c r="I183" s="1011"/>
      <c r="J183" s="1009"/>
      <c r="K183" s="229"/>
      <c r="L183" s="229"/>
    </row>
    <row r="184" spans="1:12" ht="15.75" x14ac:dyDescent="0.2">
      <c r="A184" s="229"/>
      <c r="B184" s="1010"/>
      <c r="C184" s="1008"/>
      <c r="D184" s="1008"/>
      <c r="E184" s="1011" t="s">
        <v>386</v>
      </c>
      <c r="F184" s="1011">
        <v>365</v>
      </c>
      <c r="G184" s="1012" t="s">
        <v>387</v>
      </c>
      <c r="H184" s="1011"/>
      <c r="I184" s="1011"/>
      <c r="J184" s="1009"/>
      <c r="K184" s="229"/>
      <c r="L184" s="229"/>
    </row>
    <row r="185" spans="1:12" ht="15.75" x14ac:dyDescent="0.2">
      <c r="A185" s="229"/>
      <c r="B185" s="1010"/>
      <c r="C185" s="1008"/>
      <c r="D185" s="1008"/>
      <c r="E185" s="1011" t="s">
        <v>388</v>
      </c>
      <c r="F185" s="1011"/>
      <c r="G185" s="1012"/>
      <c r="H185" s="1011"/>
      <c r="I185" s="1011"/>
      <c r="J185" s="1009"/>
      <c r="K185" s="229"/>
      <c r="L185" s="229"/>
    </row>
    <row r="186" spans="1:12" ht="15.75" x14ac:dyDescent="0.2">
      <c r="A186" s="229"/>
      <c r="B186" s="1010"/>
      <c r="C186" s="1008"/>
      <c r="D186" s="929" t="s">
        <v>369</v>
      </c>
      <c r="E186" s="1013" t="s">
        <v>368</v>
      </c>
      <c r="F186" s="1011">
        <v>104</v>
      </c>
      <c r="G186" s="1012"/>
      <c r="H186" s="1011"/>
      <c r="I186" s="1011"/>
      <c r="J186" s="1009"/>
      <c r="K186" s="229"/>
      <c r="L186" s="229"/>
    </row>
    <row r="187" spans="1:12" ht="15.75" x14ac:dyDescent="0.2">
      <c r="A187" s="229"/>
      <c r="B187" s="1010"/>
      <c r="C187" s="1008"/>
      <c r="D187" s="1008"/>
      <c r="E187" s="1014" t="s">
        <v>366</v>
      </c>
      <c r="F187" s="1011">
        <v>13</v>
      </c>
      <c r="G187" s="1012"/>
      <c r="H187" s="1011"/>
      <c r="I187" s="1011"/>
      <c r="J187" s="1009"/>
      <c r="K187" s="229"/>
      <c r="L187" s="229"/>
    </row>
    <row r="188" spans="1:12" ht="15.75" x14ac:dyDescent="0.2">
      <c r="A188" s="229"/>
      <c r="B188" s="1010"/>
      <c r="C188" s="1008"/>
      <c r="D188" s="929" t="s">
        <v>374</v>
      </c>
      <c r="E188" s="1015" t="s">
        <v>373</v>
      </c>
      <c r="F188" s="1011">
        <v>34</v>
      </c>
      <c r="G188" s="1012"/>
      <c r="H188" s="1011"/>
      <c r="I188" s="1011"/>
      <c r="J188" s="1009"/>
      <c r="K188" s="229"/>
      <c r="L188" s="229"/>
    </row>
    <row r="189" spans="1:12" ht="15.75" x14ac:dyDescent="0.2">
      <c r="A189" s="229"/>
      <c r="B189" s="1010"/>
      <c r="C189" s="1008"/>
      <c r="D189" s="929" t="s">
        <v>367</v>
      </c>
      <c r="E189" s="1016" t="s">
        <v>8</v>
      </c>
      <c r="F189" s="1011">
        <v>21</v>
      </c>
      <c r="G189" s="1012"/>
      <c r="H189" s="1011"/>
      <c r="I189" s="1011"/>
      <c r="J189" s="1009"/>
      <c r="K189" s="229"/>
      <c r="L189" s="229"/>
    </row>
    <row r="190" spans="1:12" ht="15.75" x14ac:dyDescent="0.2">
      <c r="A190" s="229"/>
      <c r="B190" s="1010"/>
      <c r="C190" s="1008"/>
      <c r="D190" s="1008"/>
      <c r="E190" s="1017" t="s">
        <v>392</v>
      </c>
      <c r="F190" s="1011">
        <f>SUM(F186:F189)</f>
        <v>172</v>
      </c>
      <c r="G190" s="1012" t="s">
        <v>387</v>
      </c>
      <c r="H190" s="1011"/>
      <c r="I190" s="1011"/>
      <c r="J190" s="1009"/>
      <c r="K190" s="229"/>
      <c r="L190" s="229"/>
    </row>
    <row r="191" spans="1:12" ht="15.75" x14ac:dyDescent="0.2">
      <c r="A191" s="229"/>
      <c r="B191" s="1010"/>
      <c r="C191" s="1008"/>
      <c r="D191" s="1008"/>
      <c r="E191" s="1017" t="s">
        <v>394</v>
      </c>
      <c r="F191" s="1011">
        <f>F184-F190</f>
        <v>193</v>
      </c>
      <c r="G191" s="1012" t="s">
        <v>387</v>
      </c>
      <c r="H191" s="1011"/>
      <c r="I191" s="1011"/>
      <c r="J191" s="1009"/>
      <c r="K191" s="229"/>
      <c r="L191" s="229"/>
    </row>
    <row r="192" spans="1:12" ht="15.75" x14ac:dyDescent="0.2">
      <c r="A192" s="229"/>
      <c r="B192" s="1010"/>
      <c r="C192" s="1008"/>
      <c r="D192" s="1008"/>
      <c r="E192" s="1017"/>
      <c r="F192" s="1011"/>
      <c r="G192" s="1012" t="s">
        <v>396</v>
      </c>
      <c r="H192" s="1011"/>
      <c r="I192" s="1011"/>
      <c r="J192" s="1009"/>
      <c r="K192" s="229"/>
      <c r="L192" s="229"/>
    </row>
    <row r="193" spans="1:12" ht="15.75" x14ac:dyDescent="0.2">
      <c r="A193" s="229"/>
      <c r="B193" s="1010"/>
      <c r="C193" s="1008"/>
      <c r="D193" s="1008"/>
      <c r="E193" s="1017" t="s">
        <v>398</v>
      </c>
      <c r="F193" s="1011">
        <v>365</v>
      </c>
      <c r="G193" s="1012" t="s">
        <v>387</v>
      </c>
      <c r="H193" s="1011"/>
      <c r="I193" s="1011"/>
      <c r="J193" s="1009"/>
      <c r="K193" s="229"/>
      <c r="L193" s="229"/>
    </row>
    <row r="194" spans="1:12" ht="15.75" x14ac:dyDescent="0.2">
      <c r="A194" s="229"/>
      <c r="B194" s="1010"/>
      <c r="C194" s="1008"/>
      <c r="D194" s="1008"/>
      <c r="E194" s="1018" t="s">
        <v>388</v>
      </c>
      <c r="F194" s="1011"/>
      <c r="G194" s="1012"/>
      <c r="H194" s="1011"/>
      <c r="I194" s="1011"/>
      <c r="J194" s="1009"/>
      <c r="K194" s="229"/>
      <c r="L194" s="229"/>
    </row>
    <row r="195" spans="1:12" ht="15.75" x14ac:dyDescent="0.2">
      <c r="A195" s="229"/>
      <c r="B195" s="1010"/>
      <c r="C195" s="1008"/>
      <c r="D195" s="1008"/>
      <c r="E195" s="1013" t="s">
        <v>368</v>
      </c>
      <c r="F195" s="1011">
        <v>104</v>
      </c>
      <c r="G195" s="1012"/>
      <c r="H195" s="1011"/>
      <c r="I195" s="1011"/>
      <c r="J195" s="1009"/>
      <c r="K195" s="229"/>
      <c r="L195" s="229"/>
    </row>
    <row r="196" spans="1:12" ht="15.75" x14ac:dyDescent="0.2">
      <c r="A196" s="229"/>
      <c r="B196" s="1010"/>
      <c r="C196" s="1008"/>
      <c r="D196" s="1008"/>
      <c r="E196" s="1014" t="s">
        <v>366</v>
      </c>
      <c r="F196" s="1011">
        <v>13</v>
      </c>
      <c r="G196" s="1012"/>
      <c r="H196" s="1011"/>
      <c r="I196" s="1011"/>
      <c r="J196" s="1009"/>
      <c r="K196" s="229"/>
      <c r="L196" s="229"/>
    </row>
    <row r="197" spans="1:12" ht="15.75" x14ac:dyDescent="0.2">
      <c r="A197" s="229"/>
      <c r="B197" s="1010"/>
      <c r="C197" s="1008"/>
      <c r="D197" s="1008"/>
      <c r="E197" s="1019" t="s">
        <v>402</v>
      </c>
      <c r="F197" s="1011">
        <f>F193-(F195+F196)</f>
        <v>248</v>
      </c>
      <c r="G197" s="1012" t="s">
        <v>387</v>
      </c>
      <c r="H197" s="1011"/>
      <c r="I197" s="1011"/>
      <c r="J197" s="1009"/>
      <c r="K197" s="229"/>
      <c r="L197" s="229"/>
    </row>
    <row r="198" spans="1:12" ht="15.75" x14ac:dyDescent="0.2">
      <c r="A198" s="229"/>
      <c r="B198" s="1010"/>
      <c r="C198" s="1008"/>
      <c r="D198" s="1008"/>
      <c r="E198" s="1011" t="s">
        <v>403</v>
      </c>
      <c r="F198" s="1011">
        <v>142</v>
      </c>
      <c r="G198" s="1012" t="s">
        <v>387</v>
      </c>
      <c r="H198" s="1011"/>
      <c r="I198" s="1011"/>
      <c r="J198" s="1009"/>
      <c r="K198" s="229"/>
      <c r="L198" s="229"/>
    </row>
    <row r="199" spans="1:12" ht="15.75" x14ac:dyDescent="0.2">
      <c r="A199" s="229"/>
      <c r="B199" s="1010"/>
      <c r="C199" s="1008"/>
      <c r="D199" s="1008"/>
      <c r="E199" s="1011" t="s">
        <v>404</v>
      </c>
      <c r="F199" s="1011">
        <v>106</v>
      </c>
      <c r="G199" s="1012" t="s">
        <v>387</v>
      </c>
      <c r="H199" s="1011"/>
      <c r="I199" s="1011"/>
      <c r="J199" s="1009"/>
      <c r="K199" s="229"/>
      <c r="L199" s="229"/>
    </row>
    <row r="200" spans="1:12" ht="15.75" x14ac:dyDescent="0.2">
      <c r="A200" s="229"/>
      <c r="B200" s="1010"/>
      <c r="C200" s="1008"/>
      <c r="D200" s="1008"/>
      <c r="E200" s="1020" t="s">
        <v>405</v>
      </c>
      <c r="F200" s="1011"/>
      <c r="G200" s="1011"/>
      <c r="H200" s="1011"/>
      <c r="I200" s="1011"/>
      <c r="J200" s="1009"/>
      <c r="K200" s="229"/>
      <c r="L200" s="229"/>
    </row>
    <row r="201" spans="1:12" ht="15.75" x14ac:dyDescent="0.2">
      <c r="A201" s="229"/>
      <c r="B201" s="1010"/>
      <c r="C201" s="1008"/>
      <c r="D201" s="1008"/>
      <c r="E201" s="1011" t="s">
        <v>406</v>
      </c>
      <c r="F201" s="1021">
        <v>142</v>
      </c>
      <c r="G201" s="1011" t="s">
        <v>387</v>
      </c>
      <c r="H201" s="1012" t="s">
        <v>403</v>
      </c>
      <c r="I201" s="1012"/>
      <c r="J201" s="1009"/>
      <c r="K201" s="229"/>
      <c r="L201" s="229"/>
    </row>
    <row r="202" spans="1:12" ht="15.75" x14ac:dyDescent="0.2">
      <c r="A202" s="229"/>
      <c r="B202" s="1010"/>
      <c r="C202" s="1008"/>
      <c r="D202" s="1008"/>
      <c r="E202" s="1011" t="s">
        <v>407</v>
      </c>
      <c r="F202" s="1021">
        <f>F191</f>
        <v>193</v>
      </c>
      <c r="G202" s="1012" t="s">
        <v>408</v>
      </c>
      <c r="H202" s="1011"/>
      <c r="I202" s="1011"/>
      <c r="J202" s="1009"/>
      <c r="K202" s="229"/>
      <c r="L202" s="229"/>
    </row>
    <row r="203" spans="1:12" ht="15.75" x14ac:dyDescent="0.2">
      <c r="A203" s="229"/>
      <c r="B203" s="1010"/>
      <c r="C203" s="1008"/>
      <c r="D203" s="1008"/>
      <c r="E203" s="1011" t="s">
        <v>410</v>
      </c>
      <c r="F203" s="1022">
        <f>F201/F202</f>
        <v>0.73575129533678751</v>
      </c>
      <c r="G203" s="1023" t="s">
        <v>411</v>
      </c>
      <c r="H203" s="1011"/>
      <c r="I203" s="1011"/>
      <c r="J203" s="1009"/>
      <c r="K203" s="229"/>
      <c r="L203" s="229"/>
    </row>
    <row r="204" spans="1:12" ht="15.75" x14ac:dyDescent="0.2">
      <c r="A204" s="229"/>
      <c r="B204" s="1010"/>
      <c r="C204" s="1008"/>
      <c r="D204" s="1008"/>
      <c r="E204" s="1011"/>
      <c r="F204" s="1011"/>
      <c r="G204" s="1011"/>
      <c r="H204" s="1011"/>
      <c r="I204" s="1011"/>
      <c r="J204" s="1009"/>
      <c r="K204" s="229"/>
      <c r="L204" s="229"/>
    </row>
    <row r="205" spans="1:12" ht="15.75" x14ac:dyDescent="0.2">
      <c r="A205" s="229"/>
      <c r="B205" s="1010"/>
      <c r="C205" s="1008"/>
      <c r="D205" s="1008"/>
      <c r="E205" s="1011"/>
      <c r="F205" s="1024">
        <v>106</v>
      </c>
      <c r="G205" s="1011" t="s">
        <v>387</v>
      </c>
      <c r="H205" s="1012" t="s">
        <v>404</v>
      </c>
      <c r="I205" s="1012"/>
      <c r="J205" s="1009"/>
      <c r="K205" s="229"/>
      <c r="L205" s="229"/>
    </row>
    <row r="206" spans="1:12" ht="15.75" x14ac:dyDescent="0.2">
      <c r="A206" s="229"/>
      <c r="B206" s="1010"/>
      <c r="C206" s="1008"/>
      <c r="D206" s="1008"/>
      <c r="E206" s="1011" t="s">
        <v>407</v>
      </c>
      <c r="F206" s="1024">
        <f>F191</f>
        <v>193</v>
      </c>
      <c r="G206" s="1012" t="s">
        <v>408</v>
      </c>
      <c r="H206" s="1012"/>
      <c r="I206" s="1012"/>
      <c r="J206" s="1009"/>
      <c r="K206" s="229"/>
      <c r="L206" s="229"/>
    </row>
    <row r="207" spans="1:12" ht="15.75" x14ac:dyDescent="0.2">
      <c r="A207" s="229"/>
      <c r="B207" s="1010"/>
      <c r="C207" s="1008"/>
      <c r="D207" s="1008"/>
      <c r="E207" s="1011" t="s">
        <v>410</v>
      </c>
      <c r="F207" s="1025">
        <f>F205/F206</f>
        <v>0.54922279792746109</v>
      </c>
      <c r="G207" s="1023" t="s">
        <v>412</v>
      </c>
      <c r="H207" s="1012"/>
      <c r="I207" s="1012"/>
      <c r="J207" s="1009"/>
      <c r="K207" s="229"/>
      <c r="L207" s="229"/>
    </row>
    <row r="208" spans="1:12" ht="15.75" x14ac:dyDescent="0.2">
      <c r="A208" s="229"/>
      <c r="B208" s="1010"/>
      <c r="C208" s="1008"/>
      <c r="D208" s="1008"/>
      <c r="E208" s="1011"/>
      <c r="F208" s="1011"/>
      <c r="G208" s="1011"/>
      <c r="H208" s="1011"/>
      <c r="I208" s="1011"/>
      <c r="J208" s="1009"/>
      <c r="K208" s="229"/>
      <c r="L208" s="229"/>
    </row>
    <row r="209" spans="1:12" ht="15.75" x14ac:dyDescent="0.2">
      <c r="A209" s="229"/>
      <c r="B209" s="931" t="s">
        <v>415</v>
      </c>
      <c r="C209" s="1008" t="s">
        <v>416</v>
      </c>
      <c r="D209" s="1008"/>
      <c r="E209" s="1011"/>
      <c r="F209" s="1011"/>
      <c r="G209" s="1011"/>
      <c r="H209" s="1011"/>
      <c r="I209" s="1011"/>
      <c r="J209" s="1009"/>
      <c r="K209" s="229"/>
      <c r="L209" s="229"/>
    </row>
    <row r="210" spans="1:12" ht="15.75" x14ac:dyDescent="0.2">
      <c r="A210" s="229"/>
      <c r="B210" s="1010">
        <v>193</v>
      </c>
      <c r="C210" s="1008" t="s">
        <v>417</v>
      </c>
      <c r="D210" s="1011"/>
      <c r="E210" s="1012"/>
      <c r="F210" s="1011"/>
      <c r="G210" s="1011"/>
      <c r="H210" s="1011"/>
      <c r="I210" s="1011"/>
      <c r="J210" s="1009"/>
      <c r="K210" s="229"/>
      <c r="L210" s="229"/>
    </row>
    <row r="211" spans="1:12" ht="15.75" x14ac:dyDescent="0.2">
      <c r="A211" s="229"/>
      <c r="B211" s="1010">
        <v>248</v>
      </c>
      <c r="C211" s="1008" t="s">
        <v>418</v>
      </c>
      <c r="D211" s="1012"/>
      <c r="E211" s="1011"/>
      <c r="F211" s="1011"/>
      <c r="G211" s="1011"/>
      <c r="H211" s="1011"/>
      <c r="I211" s="1011"/>
      <c r="J211" s="1009"/>
      <c r="K211" s="229"/>
      <c r="L211" s="229"/>
    </row>
    <row r="212" spans="1:12" ht="15.75" x14ac:dyDescent="0.2">
      <c r="A212" s="229"/>
      <c r="B212" s="1010">
        <v>142</v>
      </c>
      <c r="C212" s="1008" t="s">
        <v>419</v>
      </c>
      <c r="D212" s="1008"/>
      <c r="E212" s="1011"/>
      <c r="F212" s="1011"/>
      <c r="G212" s="1011"/>
      <c r="H212" s="1011"/>
      <c r="I212" s="1011"/>
      <c r="J212" s="1009"/>
      <c r="K212" s="229"/>
      <c r="L212" s="229"/>
    </row>
    <row r="213" spans="1:12" ht="15.75" x14ac:dyDescent="0.2">
      <c r="A213" s="229"/>
      <c r="B213" s="1010">
        <v>106</v>
      </c>
      <c r="C213" s="1008" t="s">
        <v>420</v>
      </c>
      <c r="D213" s="1008"/>
      <c r="E213" s="1011"/>
      <c r="F213" s="1011"/>
      <c r="G213" s="1011"/>
      <c r="H213" s="1011"/>
      <c r="I213" s="1011"/>
      <c r="J213" s="1009"/>
      <c r="K213" s="229"/>
      <c r="L213" s="229"/>
    </row>
    <row r="214" spans="1:12" ht="15.75" x14ac:dyDescent="0.2">
      <c r="A214" s="229"/>
      <c r="B214" s="1010"/>
      <c r="C214" s="1008"/>
      <c r="D214" s="1008"/>
      <c r="E214" s="1011"/>
      <c r="F214" s="1011"/>
      <c r="G214" s="1011"/>
      <c r="H214" s="1011"/>
      <c r="I214" s="1011"/>
      <c r="J214" s="1009"/>
      <c r="K214" s="229"/>
      <c r="L214" s="229"/>
    </row>
    <row r="215" spans="1:12" ht="15.75" x14ac:dyDescent="0.2">
      <c r="A215" s="229"/>
      <c r="B215" s="930" t="s">
        <v>421</v>
      </c>
      <c r="C215" s="1012" t="s">
        <v>422</v>
      </c>
      <c r="D215" s="1008"/>
      <c r="E215" s="1011"/>
      <c r="F215" s="1011"/>
      <c r="G215" s="1011"/>
      <c r="H215" s="1011"/>
      <c r="I215" s="1011"/>
      <c r="J215" s="1009"/>
      <c r="K215" s="229"/>
      <c r="L215" s="229"/>
    </row>
    <row r="216" spans="1:12" ht="15.75" x14ac:dyDescent="0.2">
      <c r="A216" s="229"/>
      <c r="B216" s="930" t="s">
        <v>423</v>
      </c>
      <c r="C216" s="1012" t="s">
        <v>424</v>
      </c>
      <c r="D216" s="1008"/>
      <c r="E216" s="1011"/>
      <c r="F216" s="1011"/>
      <c r="G216" s="1011"/>
      <c r="H216" s="1011"/>
      <c r="I216" s="1011"/>
      <c r="J216" s="1009"/>
      <c r="K216" s="229"/>
      <c r="L216" s="229"/>
    </row>
    <row r="217" spans="1:12" ht="16.5" thickBot="1" x14ac:dyDescent="0.25">
      <c r="A217" s="229"/>
      <c r="B217" s="1026"/>
      <c r="C217" s="1027"/>
      <c r="D217" s="1027"/>
      <c r="E217" s="1028"/>
      <c r="F217" s="1028"/>
      <c r="G217" s="1028"/>
      <c r="H217" s="1028"/>
      <c r="I217" s="1028"/>
      <c r="J217" s="1029"/>
      <c r="K217" s="229"/>
      <c r="L217" s="229"/>
    </row>
    <row r="218" spans="1:12" ht="16.5" thickBot="1" x14ac:dyDescent="0.25">
      <c r="A218" s="229"/>
      <c r="B218" s="1030" t="s">
        <v>425</v>
      </c>
      <c r="C218" s="1008"/>
      <c r="D218" s="1008"/>
      <c r="E218" s="1008"/>
      <c r="F218" s="1008"/>
      <c r="G218" s="1008"/>
      <c r="H218" s="1008"/>
      <c r="I218" s="1008"/>
      <c r="J218" s="1009"/>
      <c r="K218" s="229"/>
      <c r="L218" s="229"/>
    </row>
    <row r="219" spans="1:12" ht="16.5" thickTop="1" x14ac:dyDescent="0.2">
      <c r="A219" s="229"/>
      <c r="B219" s="1010"/>
      <c r="C219" s="987"/>
      <c r="D219" s="1688" t="s">
        <v>426</v>
      </c>
      <c r="E219" s="1689"/>
      <c r="F219" s="1690"/>
      <c r="G219" s="1688" t="s">
        <v>427</v>
      </c>
      <c r="H219" s="1689"/>
      <c r="I219" s="1689"/>
      <c r="J219" s="1031" t="s">
        <v>428</v>
      </c>
      <c r="K219" s="229"/>
      <c r="L219" s="229"/>
    </row>
    <row r="220" spans="1:12" ht="48" thickBot="1" x14ac:dyDescent="0.25">
      <c r="A220" s="229"/>
      <c r="B220" s="1032" t="s">
        <v>429</v>
      </c>
      <c r="C220" s="1033" t="s">
        <v>430</v>
      </c>
      <c r="D220" s="1034" t="s">
        <v>431</v>
      </c>
      <c r="E220" s="1034" t="s">
        <v>432</v>
      </c>
      <c r="F220" s="1034" t="s">
        <v>433</v>
      </c>
      <c r="G220" s="1034" t="s">
        <v>434</v>
      </c>
      <c r="H220" s="1034" t="s">
        <v>432</v>
      </c>
      <c r="I220" s="1035" t="s">
        <v>433</v>
      </c>
      <c r="J220" s="1036"/>
      <c r="K220" s="229"/>
      <c r="L220" s="229"/>
    </row>
    <row r="221" spans="1:12" ht="16.5" thickTop="1" x14ac:dyDescent="0.2">
      <c r="A221" s="229"/>
      <c r="B221" s="930" t="s">
        <v>435</v>
      </c>
      <c r="C221" s="1037" t="s">
        <v>436</v>
      </c>
      <c r="D221" s="987">
        <v>1</v>
      </c>
      <c r="E221" s="1038">
        <v>0.73</v>
      </c>
      <c r="F221" s="1038">
        <f>E221*D221</f>
        <v>0.73</v>
      </c>
      <c r="G221" s="1038">
        <v>1</v>
      </c>
      <c r="H221" s="1038">
        <v>0.55000000000000004</v>
      </c>
      <c r="I221" s="1039">
        <f>H221*G221</f>
        <v>0.55000000000000004</v>
      </c>
      <c r="J221" s="1040">
        <f>I221+F221</f>
        <v>1.28</v>
      </c>
      <c r="K221" s="229"/>
      <c r="L221" s="229"/>
    </row>
    <row r="222" spans="1:12" ht="15.75" x14ac:dyDescent="0.2">
      <c r="A222" s="229"/>
      <c r="B222" s="930" t="s">
        <v>437</v>
      </c>
      <c r="C222" s="1037" t="s">
        <v>436</v>
      </c>
      <c r="D222" s="987">
        <v>4</v>
      </c>
      <c r="E222" s="1038">
        <v>0.73</v>
      </c>
      <c r="F222" s="1038">
        <f>E222*D222</f>
        <v>2.92</v>
      </c>
      <c r="G222" s="1038">
        <v>4</v>
      </c>
      <c r="H222" s="1038">
        <v>0.55000000000000004</v>
      </c>
      <c r="I222" s="1039">
        <f>H222*G222</f>
        <v>2.2000000000000002</v>
      </c>
      <c r="J222" s="1040">
        <f>I222+F222</f>
        <v>5.12</v>
      </c>
      <c r="K222" s="229"/>
      <c r="L222" s="229"/>
    </row>
    <row r="223" spans="1:12" ht="15.75" x14ac:dyDescent="0.2">
      <c r="A223" s="229"/>
      <c r="B223" s="930" t="s">
        <v>438</v>
      </c>
      <c r="C223" s="1037" t="s">
        <v>436</v>
      </c>
      <c r="D223" s="987">
        <v>2</v>
      </c>
      <c r="E223" s="1038">
        <v>0.73</v>
      </c>
      <c r="F223" s="1038">
        <f>E223*D223</f>
        <v>1.46</v>
      </c>
      <c r="G223" s="1038">
        <v>2</v>
      </c>
      <c r="H223" s="1038">
        <v>0.55000000000000004</v>
      </c>
      <c r="I223" s="1039">
        <f>H223*G223</f>
        <v>1.1000000000000001</v>
      </c>
      <c r="J223" s="1040">
        <f>I223+F223</f>
        <v>2.56</v>
      </c>
      <c r="K223" s="229"/>
      <c r="L223" s="229"/>
    </row>
    <row r="224" spans="1:12" ht="15.75" x14ac:dyDescent="0.2">
      <c r="A224" s="229"/>
      <c r="B224" s="930" t="s">
        <v>439</v>
      </c>
      <c r="C224" s="1037" t="s">
        <v>436</v>
      </c>
      <c r="D224" s="987">
        <v>2</v>
      </c>
      <c r="E224" s="1038">
        <v>0.73</v>
      </c>
      <c r="F224" s="1038">
        <f>E224*D224</f>
        <v>1.46</v>
      </c>
      <c r="G224" s="1038">
        <v>2</v>
      </c>
      <c r="H224" s="1038">
        <v>0.55000000000000004</v>
      </c>
      <c r="I224" s="1039">
        <f>H224*G224</f>
        <v>1.1000000000000001</v>
      </c>
      <c r="J224" s="1040">
        <f>I224+F224</f>
        <v>2.56</v>
      </c>
      <c r="K224" s="229"/>
      <c r="L224" s="229"/>
    </row>
    <row r="225" spans="1:12" ht="15.75" x14ac:dyDescent="0.2">
      <c r="A225" s="229"/>
      <c r="B225" s="1010"/>
      <c r="C225" s="964"/>
      <c r="D225" s="964"/>
      <c r="E225" s="1041"/>
      <c r="F225" s="1041"/>
      <c r="G225" s="1041"/>
      <c r="H225" s="1041"/>
      <c r="I225" s="1041"/>
      <c r="J225" s="1042"/>
      <c r="K225" s="229"/>
      <c r="L225" s="229"/>
    </row>
    <row r="226" spans="1:12" ht="15.75" x14ac:dyDescent="0.2">
      <c r="A226" s="229"/>
      <c r="B226" s="931" t="s">
        <v>440</v>
      </c>
      <c r="C226" s="1043"/>
      <c r="D226" s="1043"/>
      <c r="E226" s="1044"/>
      <c r="F226" s="1045">
        <f>SUM(F221:F225)</f>
        <v>6.5699999999999994</v>
      </c>
      <c r="G226" s="1044"/>
      <c r="H226" s="1044"/>
      <c r="I226" s="1045">
        <f>SUM(I221:I225)</f>
        <v>4.95</v>
      </c>
      <c r="J226" s="1046">
        <f>SUM(J221:J225)</f>
        <v>11.520000000000001</v>
      </c>
      <c r="K226" s="229"/>
      <c r="L226" s="229"/>
    </row>
    <row r="227" spans="1:12" ht="16.5" thickBot="1" x14ac:dyDescent="0.25">
      <c r="A227" s="229"/>
      <c r="B227" s="1047"/>
      <c r="C227" s="1048"/>
      <c r="D227" s="1048"/>
      <c r="E227" s="1049"/>
      <c r="F227" s="1049"/>
      <c r="G227" s="1049"/>
      <c r="H227" s="1049"/>
      <c r="I227" s="1049"/>
      <c r="J227" s="1050"/>
      <c r="K227" s="229"/>
      <c r="L227" s="229"/>
    </row>
    <row r="228" spans="1:12" ht="16.5" thickBot="1" x14ac:dyDescent="0.25">
      <c r="A228" s="229"/>
      <c r="B228" s="969"/>
      <c r="C228" s="964"/>
      <c r="D228" s="964"/>
      <c r="E228" s="1041"/>
      <c r="F228" s="1041"/>
      <c r="G228" s="1041"/>
      <c r="H228" s="1041"/>
      <c r="I228" s="1041"/>
      <c r="J228" s="971"/>
      <c r="K228" s="229"/>
      <c r="L228" s="229"/>
    </row>
    <row r="229" spans="1:12" ht="16.5" thickBot="1" x14ac:dyDescent="0.25">
      <c r="A229" s="229"/>
      <c r="B229" s="1051" t="s">
        <v>441</v>
      </c>
      <c r="C229" s="1052"/>
      <c r="D229" s="1052"/>
      <c r="E229" s="1052"/>
      <c r="F229" s="1052"/>
      <c r="G229" s="1052"/>
      <c r="H229" s="1052"/>
      <c r="I229" s="1052"/>
      <c r="J229" s="1053"/>
      <c r="K229" s="229"/>
      <c r="L229" s="229"/>
    </row>
    <row r="230" spans="1:12" ht="16.5" thickTop="1" x14ac:dyDescent="0.2">
      <c r="A230" s="229"/>
      <c r="B230" s="1010"/>
      <c r="C230" s="1054"/>
      <c r="D230" s="1688" t="s">
        <v>426</v>
      </c>
      <c r="E230" s="1689"/>
      <c r="F230" s="1690"/>
      <c r="G230" s="1688" t="s">
        <v>427</v>
      </c>
      <c r="H230" s="1689"/>
      <c r="I230" s="1689"/>
      <c r="J230" s="1695" t="s">
        <v>442</v>
      </c>
      <c r="K230" s="229"/>
      <c r="L230" s="229"/>
    </row>
    <row r="231" spans="1:12" ht="48" thickBot="1" x14ac:dyDescent="0.25">
      <c r="A231" s="229"/>
      <c r="B231" s="1032" t="s">
        <v>443</v>
      </c>
      <c r="C231" s="1055" t="s">
        <v>444</v>
      </c>
      <c r="D231" s="1034" t="s">
        <v>445</v>
      </c>
      <c r="E231" s="1034" t="s">
        <v>446</v>
      </c>
      <c r="F231" s="1034" t="s">
        <v>352</v>
      </c>
      <c r="G231" s="1034" t="s">
        <v>447</v>
      </c>
      <c r="H231" s="1034" t="s">
        <v>448</v>
      </c>
      <c r="I231" s="1035" t="s">
        <v>449</v>
      </c>
      <c r="J231" s="1696"/>
      <c r="K231" s="229"/>
      <c r="L231" s="229"/>
    </row>
    <row r="232" spans="1:12" ht="16.5" thickTop="1" x14ac:dyDescent="0.2">
      <c r="A232" s="229"/>
      <c r="B232" s="930" t="s">
        <v>450</v>
      </c>
      <c r="C232" s="1056" t="s">
        <v>436</v>
      </c>
      <c r="D232" s="1054">
        <v>200</v>
      </c>
      <c r="E232" s="1057" t="s">
        <v>451</v>
      </c>
      <c r="F232" s="1057">
        <v>1600</v>
      </c>
      <c r="G232" s="1057">
        <v>1568</v>
      </c>
      <c r="H232" s="1057">
        <v>1.02</v>
      </c>
      <c r="I232" s="1058">
        <v>9</v>
      </c>
      <c r="J232" s="1059">
        <v>9.18</v>
      </c>
      <c r="K232" s="229"/>
      <c r="L232" s="229"/>
    </row>
    <row r="233" spans="1:12" ht="15.75" x14ac:dyDescent="0.2">
      <c r="A233" s="229"/>
      <c r="B233" s="930" t="s">
        <v>452</v>
      </c>
      <c r="C233" s="1056" t="s">
        <v>436</v>
      </c>
      <c r="D233" s="1054">
        <v>200</v>
      </c>
      <c r="E233" s="1057" t="s">
        <v>451</v>
      </c>
      <c r="F233" s="1057">
        <v>1600</v>
      </c>
      <c r="G233" s="1057">
        <v>1568</v>
      </c>
      <c r="H233" s="1057">
        <v>1.02</v>
      </c>
      <c r="I233" s="1058">
        <v>23</v>
      </c>
      <c r="J233" s="1059">
        <v>23.46</v>
      </c>
      <c r="K233" s="229"/>
      <c r="L233" s="229"/>
    </row>
    <row r="234" spans="1:12" ht="15.75" x14ac:dyDescent="0.2">
      <c r="A234" s="229"/>
      <c r="B234" s="930" t="s">
        <v>454</v>
      </c>
      <c r="C234" s="1056" t="s">
        <v>455</v>
      </c>
      <c r="D234" s="1054">
        <v>365</v>
      </c>
      <c r="E234" s="1057" t="s">
        <v>456</v>
      </c>
      <c r="F234" s="1057">
        <v>2920</v>
      </c>
      <c r="G234" s="1057">
        <v>1568</v>
      </c>
      <c r="H234" s="1057">
        <v>1.9</v>
      </c>
      <c r="I234" s="1058">
        <v>5</v>
      </c>
      <c r="J234" s="1059">
        <v>9.5</v>
      </c>
      <c r="K234" s="229"/>
      <c r="L234" s="229"/>
    </row>
    <row r="235" spans="1:12" ht="15.75" x14ac:dyDescent="0.2">
      <c r="A235" s="229"/>
      <c r="B235" s="930"/>
      <c r="C235" s="1056"/>
      <c r="D235" s="1054"/>
      <c r="E235" s="1057"/>
      <c r="F235" s="1057"/>
      <c r="G235" s="1057"/>
      <c r="H235" s="1057"/>
      <c r="I235" s="1058"/>
      <c r="J235" s="1059"/>
      <c r="K235" s="229"/>
      <c r="L235" s="229"/>
    </row>
    <row r="236" spans="1:12" ht="15.75" x14ac:dyDescent="0.2">
      <c r="A236" s="229"/>
      <c r="B236" s="931" t="s">
        <v>440</v>
      </c>
      <c r="C236" s="1060"/>
      <c r="D236" s="1060"/>
      <c r="E236" s="1024"/>
      <c r="F236" s="1061"/>
      <c r="G236" s="1024"/>
      <c r="H236" s="1024"/>
      <c r="I236" s="1061"/>
      <c r="J236" s="1062">
        <f>SUM(J232:J234)</f>
        <v>42.14</v>
      </c>
      <c r="K236" s="229"/>
      <c r="L236" s="229"/>
    </row>
    <row r="237" spans="1:12" ht="15.75" x14ac:dyDescent="0.2">
      <c r="A237" s="229"/>
      <c r="B237" s="1010"/>
      <c r="C237" s="1008"/>
      <c r="D237" s="1008"/>
      <c r="E237" s="1008"/>
      <c r="F237" s="1008"/>
      <c r="G237" s="1008"/>
      <c r="H237" s="1008"/>
      <c r="I237" s="1008"/>
      <c r="J237" s="1009"/>
      <c r="K237" s="229"/>
      <c r="L237" s="229"/>
    </row>
    <row r="238" spans="1:12" ht="16.5" thickBot="1" x14ac:dyDescent="0.25">
      <c r="A238" s="229"/>
      <c r="B238" s="1063"/>
      <c r="C238" s="1027"/>
      <c r="D238" s="1027"/>
      <c r="E238" s="1028"/>
      <c r="F238" s="1028"/>
      <c r="G238" s="1028"/>
      <c r="H238" s="1028"/>
      <c r="I238" s="1028"/>
      <c r="J238" s="1029"/>
      <c r="K238" s="229"/>
      <c r="L238" s="229"/>
    </row>
    <row r="239" spans="1:12" ht="15.75" x14ac:dyDescent="0.2">
      <c r="A239" s="229"/>
      <c r="B239" s="964"/>
      <c r="C239" s="964"/>
      <c r="D239" s="964"/>
      <c r="E239" s="964"/>
      <c r="F239" s="964"/>
      <c r="G239" s="964"/>
      <c r="H239" s="964"/>
      <c r="I239" s="964"/>
      <c r="J239" s="964"/>
      <c r="K239" s="229"/>
      <c r="L239" s="229"/>
    </row>
    <row r="240" spans="1:12" ht="16.5" thickBot="1" x14ac:dyDescent="0.25">
      <c r="A240" s="229"/>
      <c r="B240" s="964"/>
      <c r="C240" s="964"/>
      <c r="D240" s="964"/>
      <c r="E240" s="987"/>
      <c r="F240" s="987"/>
      <c r="G240" s="987"/>
      <c r="H240" s="987"/>
      <c r="I240" s="987"/>
      <c r="J240" s="987"/>
      <c r="K240" s="229"/>
      <c r="L240" s="229"/>
    </row>
    <row r="241" spans="1:12" ht="16.5" thickBot="1" x14ac:dyDescent="0.25">
      <c r="A241" s="229"/>
      <c r="B241" s="1064" t="s">
        <v>425</v>
      </c>
      <c r="C241" s="1065"/>
      <c r="D241" s="1065"/>
      <c r="E241" s="1065"/>
      <c r="F241" s="1065"/>
      <c r="G241" s="1065"/>
      <c r="H241" s="1065"/>
      <c r="I241" s="1065"/>
      <c r="J241" s="1066"/>
      <c r="K241" s="229"/>
      <c r="L241" s="229"/>
    </row>
    <row r="242" spans="1:12" ht="16.5" thickTop="1" x14ac:dyDescent="0.2">
      <c r="A242" s="229"/>
      <c r="B242" s="1010"/>
      <c r="C242" s="987"/>
      <c r="D242" s="1688" t="s">
        <v>426</v>
      </c>
      <c r="E242" s="1689"/>
      <c r="F242" s="1690"/>
      <c r="G242" s="1688" t="s">
        <v>427</v>
      </c>
      <c r="H242" s="1689"/>
      <c r="I242" s="1689"/>
      <c r="J242" s="1031" t="s">
        <v>428</v>
      </c>
      <c r="K242" s="229"/>
      <c r="L242" s="229"/>
    </row>
    <row r="243" spans="1:12" ht="48" thickBot="1" x14ac:dyDescent="0.25">
      <c r="A243" s="229"/>
      <c r="B243" s="1032" t="s">
        <v>429</v>
      </c>
      <c r="C243" s="1033" t="s">
        <v>430</v>
      </c>
      <c r="D243" s="1034" t="s">
        <v>431</v>
      </c>
      <c r="E243" s="1034" t="s">
        <v>432</v>
      </c>
      <c r="F243" s="1034" t="s">
        <v>433</v>
      </c>
      <c r="G243" s="1034" t="s">
        <v>434</v>
      </c>
      <c r="H243" s="1034" t="s">
        <v>432</v>
      </c>
      <c r="I243" s="1035" t="s">
        <v>433</v>
      </c>
      <c r="J243" s="1036"/>
      <c r="K243" s="229"/>
      <c r="L243" s="229"/>
    </row>
    <row r="244" spans="1:12" ht="16.5" thickTop="1" x14ac:dyDescent="0.2">
      <c r="A244" s="229"/>
      <c r="B244" s="930" t="s">
        <v>435</v>
      </c>
      <c r="C244" s="1037" t="s">
        <v>436</v>
      </c>
      <c r="D244" s="987">
        <v>1</v>
      </c>
      <c r="E244" s="1038">
        <v>0.73</v>
      </c>
      <c r="F244" s="1038">
        <f>E244*D244</f>
        <v>0.73</v>
      </c>
      <c r="G244" s="1038">
        <v>1</v>
      </c>
      <c r="H244" s="1038">
        <v>0.55000000000000004</v>
      </c>
      <c r="I244" s="1039">
        <f>H244*G244</f>
        <v>0.55000000000000004</v>
      </c>
      <c r="J244" s="1040">
        <f>I244+F244</f>
        <v>1.28</v>
      </c>
      <c r="K244" s="229"/>
      <c r="L244" s="229"/>
    </row>
    <row r="245" spans="1:12" ht="15.75" x14ac:dyDescent="0.2">
      <c r="A245" s="229"/>
      <c r="B245" s="930" t="s">
        <v>437</v>
      </c>
      <c r="C245" s="1037" t="s">
        <v>436</v>
      </c>
      <c r="D245" s="987">
        <v>4</v>
      </c>
      <c r="E245" s="1038">
        <v>0.73</v>
      </c>
      <c r="F245" s="1038">
        <f>E245*D245</f>
        <v>2.92</v>
      </c>
      <c r="G245" s="1038">
        <v>4</v>
      </c>
      <c r="H245" s="1038">
        <v>0.55000000000000004</v>
      </c>
      <c r="I245" s="1039">
        <f>H245*G245</f>
        <v>2.2000000000000002</v>
      </c>
      <c r="J245" s="1040">
        <f>I245+F245</f>
        <v>5.12</v>
      </c>
      <c r="K245" s="229"/>
      <c r="L245" s="229"/>
    </row>
    <row r="246" spans="1:12" ht="15.75" x14ac:dyDescent="0.2">
      <c r="A246" s="229"/>
      <c r="B246" s="930" t="s">
        <v>438</v>
      </c>
      <c r="C246" s="1037" t="s">
        <v>436</v>
      </c>
      <c r="D246" s="987">
        <v>2</v>
      </c>
      <c r="E246" s="1038">
        <v>0.73</v>
      </c>
      <c r="F246" s="1038">
        <f>E246*D246</f>
        <v>1.46</v>
      </c>
      <c r="G246" s="1038">
        <v>2</v>
      </c>
      <c r="H246" s="1038">
        <v>0.55000000000000004</v>
      </c>
      <c r="I246" s="1039">
        <f>H246*G246</f>
        <v>1.1000000000000001</v>
      </c>
      <c r="J246" s="1040">
        <f>I246+F246</f>
        <v>2.56</v>
      </c>
      <c r="K246" s="229"/>
      <c r="L246" s="229"/>
    </row>
    <row r="247" spans="1:12" ht="15.75" x14ac:dyDescent="0.2">
      <c r="A247" s="229"/>
      <c r="B247" s="930" t="s">
        <v>439</v>
      </c>
      <c r="C247" s="1037" t="s">
        <v>436</v>
      </c>
      <c r="D247" s="987">
        <v>2</v>
      </c>
      <c r="E247" s="1038">
        <v>0.73</v>
      </c>
      <c r="F247" s="1038">
        <f>E247*D247</f>
        <v>1.46</v>
      </c>
      <c r="G247" s="1038">
        <v>2</v>
      </c>
      <c r="H247" s="1038">
        <v>0.55000000000000004</v>
      </c>
      <c r="I247" s="1039">
        <f>H247*G247</f>
        <v>1.1000000000000001</v>
      </c>
      <c r="J247" s="1040">
        <f>I247+F247</f>
        <v>2.56</v>
      </c>
      <c r="K247" s="229"/>
      <c r="L247" s="229"/>
    </row>
    <row r="248" spans="1:12" ht="15.75" x14ac:dyDescent="0.2">
      <c r="A248" s="229"/>
      <c r="B248" s="1010"/>
      <c r="C248" s="964"/>
      <c r="D248" s="964"/>
      <c r="E248" s="1041"/>
      <c r="F248" s="1041"/>
      <c r="G248" s="1041"/>
      <c r="H248" s="1041"/>
      <c r="I248" s="1041"/>
      <c r="J248" s="1042"/>
      <c r="K248" s="229"/>
      <c r="L248" s="229"/>
    </row>
    <row r="249" spans="1:12" ht="15.75" x14ac:dyDescent="0.2">
      <c r="A249" s="229"/>
      <c r="B249" s="931" t="s">
        <v>440</v>
      </c>
      <c r="C249" s="1043"/>
      <c r="D249" s="1043"/>
      <c r="E249" s="1044"/>
      <c r="F249" s="1045">
        <f>SUM(F244:F248)</f>
        <v>6.5699999999999994</v>
      </c>
      <c r="G249" s="1044"/>
      <c r="H249" s="1044"/>
      <c r="I249" s="1045">
        <f>SUM(I244:I248)</f>
        <v>4.95</v>
      </c>
      <c r="J249" s="1046">
        <f>SUM(J244:J248)</f>
        <v>11.520000000000001</v>
      </c>
      <c r="K249" s="229"/>
      <c r="L249" s="229"/>
    </row>
    <row r="250" spans="1:12" ht="16.5" thickBot="1" x14ac:dyDescent="0.25">
      <c r="A250" s="229"/>
      <c r="B250" s="1047"/>
      <c r="C250" s="1048"/>
      <c r="D250" s="1048"/>
      <c r="E250" s="1049"/>
      <c r="F250" s="1049"/>
      <c r="G250" s="1049"/>
      <c r="H250" s="1049"/>
      <c r="I250" s="1049"/>
      <c r="J250" s="1050"/>
      <c r="K250" s="229"/>
      <c r="L250" s="229"/>
    </row>
    <row r="251" spans="1:12" ht="15" x14ac:dyDescent="0.2">
      <c r="A251" s="229"/>
      <c r="B251" s="926"/>
      <c r="C251" s="926"/>
      <c r="D251" s="926"/>
      <c r="E251" s="926"/>
      <c r="F251" s="926"/>
      <c r="G251" s="926"/>
      <c r="H251" s="926"/>
      <c r="I251" s="926"/>
      <c r="J251" s="926"/>
      <c r="K251" s="229"/>
      <c r="L251" s="229"/>
    </row>
    <row r="252" spans="1:12" x14ac:dyDescent="0.2">
      <c r="B252" s="843"/>
      <c r="C252" s="843"/>
      <c r="D252" s="843"/>
      <c r="E252" s="843"/>
      <c r="F252" s="843"/>
      <c r="G252" s="843"/>
      <c r="H252" s="843"/>
      <c r="I252" s="843"/>
      <c r="J252" s="843"/>
    </row>
  </sheetData>
  <dataConsolidate/>
  <mergeCells count="24">
    <mergeCell ref="K10:P11"/>
    <mergeCell ref="D5:G5"/>
    <mergeCell ref="B178:J178"/>
    <mergeCell ref="B179:J179"/>
    <mergeCell ref="G120:G121"/>
    <mergeCell ref="G151:G152"/>
    <mergeCell ref="C9:E9"/>
    <mergeCell ref="E10:H10"/>
    <mergeCell ref="D242:F242"/>
    <mergeCell ref="G242:I242"/>
    <mergeCell ref="B45:H45"/>
    <mergeCell ref="B180:J180"/>
    <mergeCell ref="D219:F219"/>
    <mergeCell ref="G219:I219"/>
    <mergeCell ref="D230:F230"/>
    <mergeCell ref="G230:I230"/>
    <mergeCell ref="J230:J231"/>
    <mergeCell ref="F64:I64"/>
    <mergeCell ref="F120:F121"/>
    <mergeCell ref="B126:I126"/>
    <mergeCell ref="B146:I146"/>
    <mergeCell ref="F151:F152"/>
    <mergeCell ref="G171:G172"/>
    <mergeCell ref="F171:F172"/>
  </mergeCells>
  <hyperlinks>
    <hyperlink ref="K7" r:id="rId1" xr:uid="{79248B96-E5AB-4FDC-AFBF-1222191EFBA7}"/>
    <hyperlink ref="D5" r:id="rId2" xr:uid="{41B75EF6-C851-42B0-8DD0-B9951CC56B72}"/>
    <hyperlink ref="K17" r:id="rId3" location=":~:text=La%20dur%C3%A9e%20du%20travail%20effectif,suppl%C3%A9mentaires%20susceptibles%20d'%C3%AAtre%20" xr:uid="{B2030B34-4BBE-43B6-B14D-6C18CA0B0530}"/>
    <hyperlink ref="K31" r:id="rId4" xr:uid="{A6D38055-5D3B-471B-93EB-F241806F0456}"/>
    <hyperlink ref="K53" r:id="rId5" xr:uid="{766FC1BB-828D-47CC-8D8C-892CDAA79EB4}"/>
    <hyperlink ref="K55" r:id="rId6" xr:uid="{E5965C23-828B-4608-8D53-1117BC7F12BF}"/>
    <hyperlink ref="K61" r:id="rId7" xr:uid="{08605B30-1F11-4464-8C20-4D993E4CECB9}"/>
    <hyperlink ref="K57" r:id="rId8" xr:uid="{8DB1CA8A-ABF3-4D7F-B340-BBB74379392A}"/>
    <hyperlink ref="K59" r:id="rId9" xr:uid="{E5DD9949-7A6E-4361-ABE9-E25C4DB865DE}"/>
    <hyperlink ref="K63" r:id="rId10" xr:uid="{3C30ECEC-411E-4055-9B1D-CF8F532F05E1}"/>
    <hyperlink ref="K65" r:id="rId11" xr:uid="{16B41FEC-5897-4F66-B52F-7984336A72F3}"/>
    <hyperlink ref="K67" r:id="rId12" xr:uid="{A04EF01F-F938-460B-87D9-7884D466D405}"/>
    <hyperlink ref="K69" r:id="rId13" xr:uid="{CEBA9D83-9568-4A1F-8FEB-1F254EA3097F}"/>
    <hyperlink ref="K71" r:id="rId14" xr:uid="{EEFCD0D1-CAFD-45F0-93A6-05EB7E41CAE1}"/>
  </hyperlinks>
  <pageMargins left="0" right="0" top="0" bottom="0.39370078740157483" header="0.4921259845" footer="0.4921259845"/>
  <pageSetup paperSize="9" scale="91" orientation="landscape" horizontalDpi="360" verticalDpi="360" r:id="rId15"/>
  <headerFooter alignWithMargins="0">
    <oddFooter>&amp;R&amp;8&amp;Z&amp;F-&amp;D</oddFooter>
  </headerFooter>
  <drawing r:id="rId16"/>
  <legacy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9</vt:i4>
      </vt:variant>
    </vt:vector>
  </HeadingPairs>
  <TitlesOfParts>
    <vt:vector size="24" baseType="lpstr">
      <vt:lpstr>Nota</vt:lpstr>
      <vt:lpstr>quelques.liens</vt:lpstr>
      <vt:lpstr>Absences.repos.fixes</vt:lpstr>
      <vt:lpstr>Absences.repos.variable</vt:lpstr>
      <vt:lpstr>Planification.Annuelle.1</vt:lpstr>
      <vt:lpstr>Planification.Annuelle.2</vt:lpstr>
      <vt:lpstr>Planification.Mensuelle.Variabl</vt:lpstr>
      <vt:lpstr>Planification.Mensuelle.Fixe</vt:lpstr>
      <vt:lpstr>Positionnement.avec.heures</vt:lpstr>
      <vt:lpstr>Heures.Travaillées</vt:lpstr>
      <vt:lpstr>Positionnement Pointage</vt:lpstr>
      <vt:lpstr>exemple.pointages.horaires</vt:lpstr>
      <vt:lpstr>Exemple.Horaires</vt:lpstr>
      <vt:lpstr>Exemple.Horaires (2)</vt:lpstr>
      <vt:lpstr>Temps Travail</vt:lpstr>
      <vt:lpstr>Heures.Travaillées!Année_Calendaire</vt:lpstr>
      <vt:lpstr>'Positionnement Pointage'!Année_Calendaire</vt:lpstr>
      <vt:lpstr>Fériés</vt:lpstr>
      <vt:lpstr>Heures.Travaillées!Impression_des_titres</vt:lpstr>
      <vt:lpstr>'Positionnement Pointage'!Impression_des_titres</vt:lpstr>
      <vt:lpstr>Positionnement.avec.heures!Paques</vt:lpstr>
      <vt:lpstr>Heures.Travaillées!Zone_d_impression</vt:lpstr>
      <vt:lpstr>'Positionnement Pointage'!Zone_d_impression</vt:lpstr>
      <vt:lpstr>'Temps Travail'!Zone_d_impression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Leboucher</dc:creator>
  <cp:lastModifiedBy>Joël Leboucher</cp:lastModifiedBy>
  <dcterms:created xsi:type="dcterms:W3CDTF">2021-01-14T05:02:02Z</dcterms:created>
  <dcterms:modified xsi:type="dcterms:W3CDTF">2021-02-05T18:21:19Z</dcterms:modified>
</cp:coreProperties>
</file>